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7470" windowHeight="2670" activeTab="1"/>
  </bookViews>
  <sheets>
    <sheet name="Planilha" sheetId="4" r:id="rId1"/>
    <sheet name="Memoria de Cálculo" sheetId="9" r:id="rId2"/>
  </sheets>
  <definedNames>
    <definedName name="_xlnm.Print_Area" localSheetId="0">Planilha!$A$1:$H$112</definedName>
    <definedName name="CONCATENAR">CONCATENATE(Planilha!$B1," ",Planilha!$C1)</definedName>
  </definedNames>
  <calcPr calcId="181029"/>
</workbook>
</file>

<file path=xl/calcChain.xml><?xml version="1.0" encoding="utf-8"?>
<calcChain xmlns="http://schemas.openxmlformats.org/spreadsheetml/2006/main">
  <c r="F103" i="4" l="1"/>
  <c r="H103" i="4" s="1"/>
  <c r="F102" i="4"/>
  <c r="H102" i="4" s="1"/>
  <c r="F93" i="4"/>
  <c r="F94" i="4"/>
  <c r="H94" i="4" s="1"/>
  <c r="F95" i="4"/>
  <c r="H95" i="4" s="1"/>
  <c r="F96" i="4"/>
  <c r="F97" i="4"/>
  <c r="F98" i="4"/>
  <c r="F99" i="4"/>
  <c r="F100" i="4"/>
  <c r="F101" i="4"/>
  <c r="F104" i="4"/>
  <c r="F105" i="4"/>
  <c r="F106" i="4"/>
  <c r="F107" i="4"/>
  <c r="H107" i="4" s="1"/>
  <c r="F92" i="4"/>
  <c r="H92" i="4" s="1"/>
  <c r="F84" i="4"/>
  <c r="F85" i="4"/>
  <c r="F86" i="4"/>
  <c r="F87" i="4"/>
  <c r="F88" i="4"/>
  <c r="F89" i="4"/>
  <c r="F83" i="4"/>
  <c r="F75" i="4"/>
  <c r="F76" i="4"/>
  <c r="F77" i="4"/>
  <c r="F78" i="4"/>
  <c r="F79" i="4"/>
  <c r="F80" i="4"/>
  <c r="F74" i="4"/>
  <c r="F67" i="4"/>
  <c r="F68" i="4"/>
  <c r="F69" i="4"/>
  <c r="F70" i="4"/>
  <c r="F71" i="4"/>
  <c r="F66" i="4"/>
  <c r="F53" i="4"/>
  <c r="F54" i="4"/>
  <c r="F55" i="4"/>
  <c r="F56" i="4"/>
  <c r="F57" i="4"/>
  <c r="F58" i="4"/>
  <c r="F59" i="4"/>
  <c r="F60" i="4"/>
  <c r="F61" i="4"/>
  <c r="F62" i="4"/>
  <c r="F63" i="4"/>
  <c r="F52" i="4"/>
  <c r="F43" i="4"/>
  <c r="F44" i="4"/>
  <c r="F45" i="4"/>
  <c r="F46" i="4"/>
  <c r="F47" i="4"/>
  <c r="F48" i="4"/>
  <c r="F42" i="4"/>
  <c r="F31" i="4"/>
  <c r="F32" i="4"/>
  <c r="F33" i="4"/>
  <c r="F34" i="4"/>
  <c r="F35" i="4"/>
  <c r="F36" i="4"/>
  <c r="F37" i="4"/>
  <c r="F38" i="4"/>
  <c r="F30" i="4"/>
  <c r="F26" i="4"/>
  <c r="F27" i="4"/>
  <c r="F25" i="4"/>
  <c r="F22" i="4"/>
  <c r="H22" i="4" s="1"/>
  <c r="F15" i="4"/>
  <c r="F16" i="4"/>
  <c r="F17" i="4"/>
  <c r="F18" i="4"/>
  <c r="F19" i="4"/>
  <c r="F14" i="4"/>
  <c r="H93" i="4"/>
  <c r="H104" i="4"/>
  <c r="H105" i="4"/>
  <c r="H106" i="4"/>
  <c r="H101" i="4"/>
  <c r="E373" i="9" l="1"/>
  <c r="F381" i="9"/>
  <c r="E378" i="9" s="1"/>
  <c r="F365" i="9"/>
  <c r="E361" i="9" s="1"/>
  <c r="F370" i="9"/>
  <c r="E367" i="9" s="1"/>
  <c r="C344" i="9"/>
  <c r="D502" i="9"/>
  <c r="F464" i="9"/>
  <c r="F463" i="9"/>
  <c r="F462" i="9"/>
  <c r="D457" i="9"/>
  <c r="E451" i="9" s="1"/>
  <c r="E180" i="9"/>
  <c r="F449" i="9"/>
  <c r="F448" i="9"/>
  <c r="E435" i="9"/>
  <c r="E440" i="9" s="1"/>
  <c r="E427" i="9"/>
  <c r="A415" i="9"/>
  <c r="B415" i="9"/>
  <c r="C415" i="9"/>
  <c r="D415" i="9"/>
  <c r="E415" i="9"/>
  <c r="A419" i="9"/>
  <c r="B419" i="9"/>
  <c r="C419" i="9"/>
  <c r="D419" i="9"/>
  <c r="E419" i="9"/>
  <c r="A423" i="9"/>
  <c r="B423" i="9"/>
  <c r="C423" i="9"/>
  <c r="D423" i="9"/>
  <c r="E423" i="9"/>
  <c r="A427" i="9"/>
  <c r="B427" i="9"/>
  <c r="C427" i="9"/>
  <c r="D427" i="9"/>
  <c r="A435" i="9"/>
  <c r="B435" i="9"/>
  <c r="C435" i="9"/>
  <c r="D435" i="9"/>
  <c r="A440" i="9"/>
  <c r="B440" i="9"/>
  <c r="C440" i="9"/>
  <c r="D440" i="9"/>
  <c r="A445" i="9"/>
  <c r="B445" i="9"/>
  <c r="C445" i="9"/>
  <c r="D445" i="9"/>
  <c r="A451" i="9"/>
  <c r="B451" i="9"/>
  <c r="C451" i="9"/>
  <c r="D451" i="9"/>
  <c r="A459" i="9"/>
  <c r="B459" i="9"/>
  <c r="C459" i="9"/>
  <c r="D459" i="9"/>
  <c r="A468" i="9"/>
  <c r="B468" i="9"/>
  <c r="C468" i="9"/>
  <c r="D468" i="9"/>
  <c r="A476" i="9"/>
  <c r="B476" i="9"/>
  <c r="C476" i="9"/>
  <c r="D476" i="9"/>
  <c r="E476" i="9"/>
  <c r="A480" i="9"/>
  <c r="B480" i="9"/>
  <c r="C480" i="9"/>
  <c r="D480" i="9"/>
  <c r="E480" i="9"/>
  <c r="A484" i="9"/>
  <c r="B484" i="9"/>
  <c r="C484" i="9"/>
  <c r="D484" i="9"/>
  <c r="E484" i="9"/>
  <c r="A488" i="9"/>
  <c r="B488" i="9"/>
  <c r="C488" i="9"/>
  <c r="D488" i="9"/>
  <c r="E488" i="9"/>
  <c r="A492" i="9"/>
  <c r="B492" i="9"/>
  <c r="C492" i="9"/>
  <c r="D492" i="9"/>
  <c r="E492" i="9"/>
  <c r="A496" i="9"/>
  <c r="B496" i="9"/>
  <c r="C496" i="9"/>
  <c r="D496" i="9"/>
  <c r="E496" i="9"/>
  <c r="C414" i="9"/>
  <c r="A414" i="9"/>
  <c r="E110" i="9"/>
  <c r="F277" i="9"/>
  <c r="F259" i="9"/>
  <c r="F244" i="9"/>
  <c r="E339" i="9"/>
  <c r="E71" i="4" s="1"/>
  <c r="H71" i="4" s="1"/>
  <c r="D316" i="9"/>
  <c r="F316" i="9" s="1"/>
  <c r="D327" i="9"/>
  <c r="D329" i="9" s="1"/>
  <c r="E324" i="9" s="1"/>
  <c r="E68" i="4" s="1"/>
  <c r="H68" i="4" s="1"/>
  <c r="D337" i="9"/>
  <c r="E335" i="9" s="1"/>
  <c r="E70" i="4" s="1"/>
  <c r="H70" i="4" s="1"/>
  <c r="D333" i="9"/>
  <c r="E331" i="9" s="1"/>
  <c r="E69" i="4" s="1"/>
  <c r="H69" i="4" s="1"/>
  <c r="A335" i="9"/>
  <c r="B335" i="9"/>
  <c r="C335" i="9"/>
  <c r="D335" i="9"/>
  <c r="A339" i="9"/>
  <c r="B339" i="9"/>
  <c r="C339" i="9"/>
  <c r="D339" i="9"/>
  <c r="B331" i="9"/>
  <c r="C331" i="9"/>
  <c r="D331" i="9"/>
  <c r="A331" i="9"/>
  <c r="B324" i="9"/>
  <c r="C324" i="9"/>
  <c r="D324" i="9"/>
  <c r="A324" i="9"/>
  <c r="F315" i="9"/>
  <c r="F314" i="9"/>
  <c r="E100" i="4"/>
  <c r="H100" i="4" s="1"/>
  <c r="E99" i="4"/>
  <c r="H99" i="4" s="1"/>
  <c r="E98" i="4"/>
  <c r="H98" i="4" s="1"/>
  <c r="E96" i="4"/>
  <c r="H96" i="4" s="1"/>
  <c r="E97" i="4" l="1"/>
  <c r="H97" i="4" s="1"/>
  <c r="F465" i="9"/>
  <c r="E459" i="9" s="1"/>
  <c r="F450" i="9"/>
  <c r="E445" i="9" s="1"/>
  <c r="F317" i="9"/>
  <c r="E311" i="9" s="1"/>
  <c r="E79" i="4"/>
  <c r="H79" i="4" s="1"/>
  <c r="E80" i="4"/>
  <c r="H80" i="4" s="1"/>
  <c r="E77" i="4"/>
  <c r="H77" i="4" s="1"/>
  <c r="E78" i="4"/>
  <c r="H78" i="4" s="1"/>
  <c r="E356" i="9"/>
  <c r="E76" i="4" s="1"/>
  <c r="H76" i="4" s="1"/>
  <c r="A361" i="9"/>
  <c r="B361" i="9"/>
  <c r="C361" i="9"/>
  <c r="D361" i="9"/>
  <c r="A367" i="9"/>
  <c r="B367" i="9"/>
  <c r="C367" i="9"/>
  <c r="D367" i="9"/>
  <c r="A373" i="9"/>
  <c r="B373" i="9"/>
  <c r="C373" i="9"/>
  <c r="D373" i="9"/>
  <c r="A378" i="9"/>
  <c r="B378" i="9"/>
  <c r="C378" i="9"/>
  <c r="D378" i="9"/>
  <c r="B356" i="9"/>
  <c r="C356" i="9"/>
  <c r="D356" i="9"/>
  <c r="A356" i="9"/>
  <c r="H91" i="4" l="1"/>
  <c r="F172" i="9"/>
  <c r="D298" i="9"/>
  <c r="E123" i="9"/>
  <c r="E37" i="4" s="1"/>
  <c r="H37" i="4" s="1"/>
  <c r="B123" i="9"/>
  <c r="C123" i="9"/>
  <c r="D123" i="9"/>
  <c r="A123" i="9"/>
  <c r="D102" i="9"/>
  <c r="D101" i="9"/>
  <c r="E94" i="9"/>
  <c r="B98" i="9"/>
  <c r="C98" i="9"/>
  <c r="D98" i="9"/>
  <c r="A98" i="9"/>
  <c r="E98" i="9" l="1"/>
  <c r="E33" i="4" s="1"/>
  <c r="H33" i="4" s="1"/>
  <c r="E186" i="9"/>
  <c r="E48" i="4"/>
  <c r="H48" i="4" s="1"/>
  <c r="B186" i="9"/>
  <c r="C186" i="9"/>
  <c r="D186" i="9"/>
  <c r="A186" i="9"/>
  <c r="A159" i="9" l="1"/>
  <c r="E74" i="4"/>
  <c r="H74" i="4" s="1"/>
  <c r="D354" i="9"/>
  <c r="E349" i="9" s="1"/>
  <c r="E75" i="4" s="1"/>
  <c r="H75" i="4" s="1"/>
  <c r="E89" i="4"/>
  <c r="H89" i="4" s="1"/>
  <c r="E88" i="4"/>
  <c r="H88" i="4" s="1"/>
  <c r="E87" i="4"/>
  <c r="H87" i="4" s="1"/>
  <c r="E86" i="4"/>
  <c r="H86" i="4" s="1"/>
  <c r="E85" i="4"/>
  <c r="H85" i="4" s="1"/>
  <c r="E84" i="4"/>
  <c r="H84" i="4" s="1"/>
  <c r="E83" i="4"/>
  <c r="H83" i="4" s="1"/>
  <c r="B392" i="9"/>
  <c r="C392" i="9"/>
  <c r="D392" i="9"/>
  <c r="A392" i="9"/>
  <c r="B388" i="9"/>
  <c r="C388" i="9"/>
  <c r="D388" i="9"/>
  <c r="A388" i="9"/>
  <c r="E319" i="9" l="1"/>
  <c r="E67" i="4" s="1"/>
  <c r="H67" i="4" s="1"/>
  <c r="E66" i="4"/>
  <c r="H66" i="4" s="1"/>
  <c r="A319" i="9"/>
  <c r="B319" i="9"/>
  <c r="C319" i="9"/>
  <c r="D319" i="9"/>
  <c r="A344" i="9"/>
  <c r="A345" i="9"/>
  <c r="B345" i="9"/>
  <c r="C345" i="9"/>
  <c r="D345" i="9"/>
  <c r="D308" i="9"/>
  <c r="E306" i="9" s="1"/>
  <c r="E63" i="4" s="1"/>
  <c r="H63" i="4" s="1"/>
  <c r="E301" i="9"/>
  <c r="E62" i="4" s="1"/>
  <c r="H62" i="4" s="1"/>
  <c r="D297" i="9"/>
  <c r="D296" i="9"/>
  <c r="D295" i="9"/>
  <c r="D294" i="9"/>
  <c r="D293" i="9"/>
  <c r="E31" i="4"/>
  <c r="H31" i="4" s="1"/>
  <c r="B87" i="9"/>
  <c r="C87" i="9"/>
  <c r="D87" i="9"/>
  <c r="A87" i="9"/>
  <c r="F285" i="9"/>
  <c r="F284" i="9"/>
  <c r="D286" i="9"/>
  <c r="F286" i="9" s="1"/>
  <c r="F276" i="9"/>
  <c r="F275" i="9"/>
  <c r="F274" i="9"/>
  <c r="F273" i="9"/>
  <c r="F272" i="9"/>
  <c r="F271" i="9"/>
  <c r="F270" i="9"/>
  <c r="F269" i="9"/>
  <c r="F268" i="9"/>
  <c r="F267" i="9"/>
  <c r="F266" i="9"/>
  <c r="F265" i="9"/>
  <c r="F258" i="9"/>
  <c r="F257" i="9"/>
  <c r="F256" i="9"/>
  <c r="F255" i="9"/>
  <c r="F254" i="9"/>
  <c r="F253" i="9"/>
  <c r="F252" i="9"/>
  <c r="F251" i="9"/>
  <c r="C262" i="9"/>
  <c r="D262" i="9"/>
  <c r="B248" i="9"/>
  <c r="C248" i="9"/>
  <c r="D248" i="9"/>
  <c r="A248" i="9"/>
  <c r="F234" i="9"/>
  <c r="F233" i="9"/>
  <c r="F232" i="9"/>
  <c r="F243" i="9"/>
  <c r="F242" i="9"/>
  <c r="F241" i="9"/>
  <c r="F240" i="9"/>
  <c r="F239" i="9"/>
  <c r="F238" i="9"/>
  <c r="F237" i="9"/>
  <c r="F236" i="9"/>
  <c r="F235" i="9"/>
  <c r="F225" i="9"/>
  <c r="F213" i="9"/>
  <c r="F202" i="9"/>
  <c r="D224" i="9"/>
  <c r="F224" i="9" s="1"/>
  <c r="F223" i="9"/>
  <c r="D222" i="9"/>
  <c r="F222" i="9" s="1"/>
  <c r="F221" i="9"/>
  <c r="F220" i="9"/>
  <c r="F219" i="9"/>
  <c r="F212" i="9"/>
  <c r="D211" i="9"/>
  <c r="F211" i="9" s="1"/>
  <c r="F210" i="9"/>
  <c r="F209" i="9"/>
  <c r="F208" i="9"/>
  <c r="F201" i="9"/>
  <c r="D200" i="9"/>
  <c r="F200" i="9" s="1"/>
  <c r="F199" i="9"/>
  <c r="F198" i="9"/>
  <c r="F197" i="9"/>
  <c r="E47" i="4"/>
  <c r="H47" i="4" s="1"/>
  <c r="E175" i="9"/>
  <c r="E46" i="4" s="1"/>
  <c r="H46" i="4" s="1"/>
  <c r="F171" i="9"/>
  <c r="D167" i="9"/>
  <c r="E159" i="9" s="1"/>
  <c r="E44" i="4" s="1"/>
  <c r="H44" i="4" s="1"/>
  <c r="E156" i="9"/>
  <c r="E155" i="9"/>
  <c r="E154" i="9"/>
  <c r="E153" i="9"/>
  <c r="E152" i="9"/>
  <c r="D145" i="9"/>
  <c r="E137" i="9" s="1"/>
  <c r="E42" i="4" s="1"/>
  <c r="H42" i="4" s="1"/>
  <c r="C149" i="9"/>
  <c r="D149" i="9"/>
  <c r="E131" i="9"/>
  <c r="E38" i="4" s="1"/>
  <c r="H38" i="4" s="1"/>
  <c r="E83" i="9"/>
  <c r="E30" i="4" s="1"/>
  <c r="H30" i="4" s="1"/>
  <c r="E34" i="4"/>
  <c r="H34" i="4" s="1"/>
  <c r="E51" i="9"/>
  <c r="F245" i="9" l="1"/>
  <c r="E229" i="9" s="1"/>
  <c r="E56" i="4" s="1"/>
  <c r="H56" i="4" s="1"/>
  <c r="F260" i="9"/>
  <c r="E248" i="9" s="1"/>
  <c r="E57" i="4" s="1"/>
  <c r="H57" i="4" s="1"/>
  <c r="F278" i="9"/>
  <c r="E262" i="9" s="1"/>
  <c r="D299" i="9"/>
  <c r="E290" i="9" s="1"/>
  <c r="E61" i="4" s="1"/>
  <c r="H61" i="4" s="1"/>
  <c r="F173" i="9"/>
  <c r="E169" i="9" s="1"/>
  <c r="E45" i="4" s="1"/>
  <c r="H45" i="4" s="1"/>
  <c r="F287" i="9"/>
  <c r="E280" i="9" s="1"/>
  <c r="E59" i="4" s="1"/>
  <c r="H59" i="4" s="1"/>
  <c r="F226" i="9"/>
  <c r="E216" i="9" s="1"/>
  <c r="E54" i="4" s="1"/>
  <c r="H54" i="4" s="1"/>
  <c r="F214" i="9"/>
  <c r="E205" i="9" s="1"/>
  <c r="E53" i="4" s="1"/>
  <c r="H53" i="4" s="1"/>
  <c r="F203" i="9"/>
  <c r="E194" i="9" s="1"/>
  <c r="E52" i="4" s="1"/>
  <c r="H52" i="4" s="1"/>
  <c r="E157" i="9"/>
  <c r="E149" i="9" s="1"/>
  <c r="E43" i="4" s="1"/>
  <c r="H43" i="4" s="1"/>
  <c r="E13" i="9"/>
  <c r="E14" i="4" s="1"/>
  <c r="H14" i="4" s="1"/>
  <c r="E44" i="9"/>
  <c r="F41" i="9"/>
  <c r="F40" i="9"/>
  <c r="F39" i="9"/>
  <c r="F38" i="9"/>
  <c r="F32" i="9"/>
  <c r="F31" i="9"/>
  <c r="F30" i="9"/>
  <c r="F29" i="9"/>
  <c r="D24" i="9"/>
  <c r="E16" i="9" s="1"/>
  <c r="E15" i="4" s="1"/>
  <c r="H15" i="4" s="1"/>
  <c r="E58" i="9"/>
  <c r="D16" i="9"/>
  <c r="D26" i="9"/>
  <c r="D35" i="9"/>
  <c r="D44" i="9"/>
  <c r="D51" i="9"/>
  <c r="D58" i="9"/>
  <c r="D65" i="9"/>
  <c r="D71" i="9"/>
  <c r="D77" i="9"/>
  <c r="D83" i="9"/>
  <c r="D94" i="9"/>
  <c r="D110" i="9"/>
  <c r="D115" i="9"/>
  <c r="D119" i="9"/>
  <c r="D131" i="9"/>
  <c r="D137" i="9"/>
  <c r="D159" i="9"/>
  <c r="D169" i="9"/>
  <c r="D175" i="9"/>
  <c r="D180" i="9"/>
  <c r="D194" i="9"/>
  <c r="D205" i="9"/>
  <c r="D216" i="9"/>
  <c r="D229" i="9"/>
  <c r="D280" i="9"/>
  <c r="D290" i="9"/>
  <c r="D301" i="9"/>
  <c r="D306" i="9"/>
  <c r="D311" i="9"/>
  <c r="D349" i="9"/>
  <c r="D384" i="9"/>
  <c r="D396" i="9"/>
  <c r="D400" i="9"/>
  <c r="D404" i="9"/>
  <c r="D408" i="9"/>
  <c r="D13" i="9"/>
  <c r="C16" i="9"/>
  <c r="C26" i="9"/>
  <c r="C35" i="9"/>
  <c r="C44" i="9"/>
  <c r="C51" i="9"/>
  <c r="C57" i="9"/>
  <c r="C58" i="9"/>
  <c r="C64" i="9"/>
  <c r="C65" i="9"/>
  <c r="C71" i="9"/>
  <c r="C77" i="9"/>
  <c r="C82" i="9"/>
  <c r="C83" i="9"/>
  <c r="C94" i="9"/>
  <c r="C110" i="9"/>
  <c r="C115" i="9"/>
  <c r="C119" i="9"/>
  <c r="C131" i="9"/>
  <c r="C135" i="9"/>
  <c r="C136" i="9"/>
  <c r="C137" i="9"/>
  <c r="C159" i="9"/>
  <c r="C169" i="9"/>
  <c r="C175" i="9"/>
  <c r="C180" i="9"/>
  <c r="C192" i="9"/>
  <c r="C193" i="9"/>
  <c r="C194" i="9"/>
  <c r="C205" i="9"/>
  <c r="C216" i="9"/>
  <c r="C228" i="9"/>
  <c r="C229" i="9"/>
  <c r="C280" i="9"/>
  <c r="C289" i="9"/>
  <c r="C290" i="9"/>
  <c r="C301" i="9"/>
  <c r="C306" i="9"/>
  <c r="C310" i="9"/>
  <c r="C311" i="9"/>
  <c r="C349" i="9"/>
  <c r="C383" i="9"/>
  <c r="C384" i="9"/>
  <c r="C396" i="9"/>
  <c r="C400" i="9"/>
  <c r="C404" i="9"/>
  <c r="C408" i="9"/>
  <c r="C13" i="9"/>
  <c r="B16" i="9"/>
  <c r="B26" i="9"/>
  <c r="B35" i="9"/>
  <c r="B44" i="9"/>
  <c r="B51" i="9"/>
  <c r="B58" i="9"/>
  <c r="B65" i="9"/>
  <c r="B71" i="9"/>
  <c r="B77" i="9"/>
  <c r="B83" i="9"/>
  <c r="B94" i="9"/>
  <c r="B110" i="9"/>
  <c r="B115" i="9"/>
  <c r="B119" i="9"/>
  <c r="B131" i="9"/>
  <c r="B137" i="9"/>
  <c r="B149" i="9"/>
  <c r="B159" i="9"/>
  <c r="B169" i="9"/>
  <c r="B175" i="9"/>
  <c r="B180" i="9"/>
  <c r="B194" i="9"/>
  <c r="B205" i="9"/>
  <c r="B216" i="9"/>
  <c r="B229" i="9"/>
  <c r="B262" i="9"/>
  <c r="B280" i="9"/>
  <c r="B290" i="9"/>
  <c r="B301" i="9"/>
  <c r="B306" i="9"/>
  <c r="B311" i="9"/>
  <c r="B349" i="9"/>
  <c r="B384" i="9"/>
  <c r="B396" i="9"/>
  <c r="B400" i="9"/>
  <c r="B404" i="9"/>
  <c r="B408" i="9"/>
  <c r="B13" i="9"/>
  <c r="A13" i="9"/>
  <c r="A16" i="9"/>
  <c r="A26" i="9"/>
  <c r="A35" i="9"/>
  <c r="A44" i="9"/>
  <c r="A51" i="9"/>
  <c r="A57" i="9"/>
  <c r="A58" i="9"/>
  <c r="A64" i="9"/>
  <c r="A65" i="9"/>
  <c r="A71" i="9"/>
  <c r="A77" i="9"/>
  <c r="A82" i="9"/>
  <c r="A83" i="9"/>
  <c r="A94" i="9"/>
  <c r="A110" i="9"/>
  <c r="A115" i="9"/>
  <c r="A119" i="9"/>
  <c r="A131" i="9"/>
  <c r="A135" i="9"/>
  <c r="A136" i="9"/>
  <c r="A137" i="9"/>
  <c r="A149" i="9"/>
  <c r="A169" i="9"/>
  <c r="A175" i="9"/>
  <c r="A180" i="9"/>
  <c r="A192" i="9"/>
  <c r="A193" i="9"/>
  <c r="A194" i="9"/>
  <c r="A205" i="9"/>
  <c r="A216" i="9"/>
  <c r="A228" i="9"/>
  <c r="A229" i="9"/>
  <c r="A262" i="9"/>
  <c r="A280" i="9"/>
  <c r="A289" i="9"/>
  <c r="A290" i="9"/>
  <c r="A301" i="9"/>
  <c r="A306" i="9"/>
  <c r="A310" i="9"/>
  <c r="A311" i="9"/>
  <c r="A349" i="9"/>
  <c r="A383" i="9"/>
  <c r="A384" i="9"/>
  <c r="A396" i="9"/>
  <c r="A400" i="9"/>
  <c r="A404" i="9"/>
  <c r="A408" i="9"/>
  <c r="C12" i="9"/>
  <c r="A12" i="9"/>
  <c r="H82" i="4"/>
  <c r="H73" i="4" l="1"/>
  <c r="F42" i="9"/>
  <c r="E35" i="9" s="1"/>
  <c r="E17" i="4" s="1"/>
  <c r="H17" i="4" s="1"/>
  <c r="F33" i="9"/>
  <c r="E26" i="9" s="1"/>
  <c r="E16" i="4" s="1"/>
  <c r="H16" i="4" s="1"/>
  <c r="D68" i="9" l="1"/>
  <c r="D80" i="9"/>
  <c r="D74" i="9"/>
  <c r="D67" i="9"/>
  <c r="D79" i="9"/>
  <c r="D73" i="9"/>
  <c r="D81" i="9" l="1"/>
  <c r="E77" i="9" s="1"/>
  <c r="E27" i="4" s="1"/>
  <c r="H27" i="4" s="1"/>
  <c r="D69" i="9"/>
  <c r="E65" i="9" s="1"/>
  <c r="E25" i="4" s="1"/>
  <c r="H25" i="4" s="1"/>
  <c r="D75" i="9"/>
  <c r="E71" i="9" s="1"/>
  <c r="E26" i="4" s="1"/>
  <c r="H26" i="4" s="1"/>
  <c r="H65" i="4" l="1"/>
  <c r="H40" i="4"/>
  <c r="H21" i="4"/>
  <c r="H24" i="4" l="1"/>
  <c r="E18" i="4" l="1"/>
  <c r="H18" i="4" s="1"/>
  <c r="E19" i="4"/>
  <c r="H19" i="4" s="1"/>
  <c r="H13" i="4" l="1"/>
  <c r="E32" i="4"/>
  <c r="H32" i="4" s="1"/>
  <c r="E35" i="4"/>
  <c r="H35" i="4" s="1"/>
  <c r="E36" i="4"/>
  <c r="H36" i="4" s="1"/>
  <c r="H29" i="4" l="1"/>
  <c r="E58" i="4"/>
  <c r="H58" i="4" s="1"/>
  <c r="H50" i="4" l="1"/>
  <c r="F109" i="4" s="1"/>
</calcChain>
</file>

<file path=xl/sharedStrings.xml><?xml version="1.0" encoding="utf-8"?>
<sst xmlns="http://schemas.openxmlformats.org/spreadsheetml/2006/main" count="652" uniqueCount="341">
  <si>
    <t>ÍTEM</t>
  </si>
  <si>
    <t>1.1</t>
  </si>
  <si>
    <t>PLANILHA ORÇAMENTÁRIA</t>
  </si>
  <si>
    <t xml:space="preserve">UN </t>
  </si>
  <si>
    <t>P. UNIT</t>
  </si>
  <si>
    <t>Prefeitura do Município de São Miguel Arcanjo</t>
  </si>
  <si>
    <t>DESCRIÇÃO DOS SERVIÇOS</t>
  </si>
  <si>
    <t>TOTAL</t>
  </si>
  <si>
    <t xml:space="preserve">QUANT. </t>
  </si>
  <si>
    <t>P. TOTAL</t>
  </si>
  <si>
    <t>B.D.I</t>
  </si>
  <si>
    <t>DATA</t>
  </si>
  <si>
    <t>LOCAL</t>
  </si>
  <si>
    <t>OBRA</t>
  </si>
  <si>
    <t>m2</t>
  </si>
  <si>
    <t>DATA REF.</t>
  </si>
  <si>
    <t>PINTURA</t>
  </si>
  <si>
    <t>ELÉTRICA</t>
  </si>
  <si>
    <t>m²</t>
  </si>
  <si>
    <t>Secretaria Municipal de Obras</t>
  </si>
  <si>
    <t>CPOS</t>
  </si>
  <si>
    <t>cotação</t>
  </si>
  <si>
    <t>33.05.330</t>
  </si>
  <si>
    <t>PISO</t>
  </si>
  <si>
    <t>cj</t>
  </si>
  <si>
    <t>28.01.050</t>
  </si>
  <si>
    <t>Ferragem completa com maçaneta tipo alavanca para porta interna com 2 folhas (1ª linha)</t>
  </si>
  <si>
    <t>Verniz em superfície de madeira (1ª linha)</t>
  </si>
  <si>
    <t>Emboço desempenado com espuma de poliéster</t>
  </si>
  <si>
    <t>17.02.140</t>
  </si>
  <si>
    <t>17.05.020</t>
  </si>
  <si>
    <t>03.04.020</t>
  </si>
  <si>
    <t>Gradil de ferro perfilado, tipo parque</t>
  </si>
  <si>
    <t>34.05.310</t>
  </si>
  <si>
    <t>m</t>
  </si>
  <si>
    <t>Reforma do Clube Recreativo Bernardes Junior</t>
  </si>
  <si>
    <t>Rua Siqueira Campos, n.º 718 , Bairro Centro</t>
  </si>
  <si>
    <t>02.08.020</t>
  </si>
  <si>
    <t>Placa de identificação para obra</t>
  </si>
  <si>
    <t>1.2</t>
  </si>
  <si>
    <t>Revitalização da escada de madeira</t>
  </si>
  <si>
    <t>1.3</t>
  </si>
  <si>
    <t>Revestimento</t>
  </si>
  <si>
    <t>Serviços preliminares</t>
  </si>
  <si>
    <t>03.03.040</t>
  </si>
  <si>
    <t>04.09.020</t>
  </si>
  <si>
    <t>ESQUADRIAS</t>
  </si>
  <si>
    <t>1.4</t>
  </si>
  <si>
    <t>23.01.050</t>
  </si>
  <si>
    <t>Retirada de esquadria em geral</t>
  </si>
  <si>
    <t>26.01.080</t>
  </si>
  <si>
    <t>Vidro liso transparente de 6 mm</t>
  </si>
  <si>
    <t>Demolição manual de revestimento cerâmico, incluindo a base (paredes)</t>
  </si>
  <si>
    <t>Demolição manual de revestimento cerâmico, incluindo a base (piso)</t>
  </si>
  <si>
    <t>17.02.020</t>
  </si>
  <si>
    <t>Chapisco</t>
  </si>
  <si>
    <t>m³</t>
  </si>
  <si>
    <t>33.10.100</t>
  </si>
  <si>
    <t>Textura acrílica para uso interno / externo, inclusive preparo</t>
  </si>
  <si>
    <t>04.09.040</t>
  </si>
  <si>
    <t>Retirada de folha de esquadria metálica</t>
  </si>
  <si>
    <t>un</t>
  </si>
  <si>
    <t>COTAÇÃO</t>
  </si>
  <si>
    <t>Raspagem com calafetação, lixamento e aplicação de verniz sinteco (Piso superior)</t>
  </si>
  <si>
    <t>22.03.070</t>
  </si>
  <si>
    <t>03.10.140</t>
  </si>
  <si>
    <t>Remoção de pintura em massa com lixamento</t>
  </si>
  <si>
    <t>PINTURA EXTERNA</t>
  </si>
  <si>
    <t>PINTURA INTERNA</t>
  </si>
  <si>
    <t>33.02.060</t>
  </si>
  <si>
    <t>Massa corrida a base de PVA</t>
  </si>
  <si>
    <t>PINTURA DE ESQUADRIAS</t>
  </si>
  <si>
    <t>33.02.080</t>
  </si>
  <si>
    <t>Massa corrida à base de resina acrílica</t>
  </si>
  <si>
    <t>Caixilho em madeira para janelas</t>
  </si>
  <si>
    <t>33.10.030</t>
  </si>
  <si>
    <t>Tinta acrílica antimofo em massa, inclusive preparo</t>
  </si>
  <si>
    <t>33.10.020</t>
  </si>
  <si>
    <t>Tinta látex em massa, inclusive preparo</t>
  </si>
  <si>
    <t>Demolição manual de revestimento em massa de parede ou teto (textura grafiato)</t>
  </si>
  <si>
    <t>Cabo de cobre de 2,5 mm², isolamento 0,6/1 kV - isolação em PVC 70°C</t>
  </si>
  <si>
    <t>39.03.170</t>
  </si>
  <si>
    <t>Eletroduto de PVC rígido roscável de 3/4´ - com acessórios</t>
  </si>
  <si>
    <t>38.01.040</t>
  </si>
  <si>
    <t>Disjuntor termomagnético, unipolar 127/220 V, corrente de 10 A até 30 A</t>
  </si>
  <si>
    <t>37.13.600</t>
  </si>
  <si>
    <t>Caixa em PVC de 4´ x 2´</t>
  </si>
  <si>
    <t>40.07.010</t>
  </si>
  <si>
    <t>1.5</t>
  </si>
  <si>
    <t>1.6</t>
  </si>
  <si>
    <t>2.1</t>
  </si>
  <si>
    <t>Porta lisa com batente madeira - 80 x 210 cm</t>
  </si>
  <si>
    <t>23.09.040</t>
  </si>
  <si>
    <t>24.02.054</t>
  </si>
  <si>
    <t>Porta corta-fogo classe P.90, com barra antipânico numa face e maçaneta na outra, completa</t>
  </si>
  <si>
    <t>Contrapiso com requadro em concreto simples sem controle de fck</t>
  </si>
  <si>
    <t>Regularização de piso com nata de cimento</t>
  </si>
  <si>
    <t>17.01.050</t>
  </si>
  <si>
    <t>Placa cerâmica esmaltada PEI-5 para área externa, grupo de absorção BIIb, resistência química B, assentado com argamassa colante industrializada</t>
  </si>
  <si>
    <t>18.06.222</t>
  </si>
  <si>
    <t>ÁREA INTERNA</t>
  </si>
  <si>
    <t>3.1</t>
  </si>
  <si>
    <t>3.2</t>
  </si>
  <si>
    <t>3.3</t>
  </si>
  <si>
    <t>4.1</t>
  </si>
  <si>
    <t>4.2</t>
  </si>
  <si>
    <t>4.3</t>
  </si>
  <si>
    <t>4.4</t>
  </si>
  <si>
    <t>4.5</t>
  </si>
  <si>
    <t>4.6</t>
  </si>
  <si>
    <t>4.7</t>
  </si>
  <si>
    <t>5.1</t>
  </si>
  <si>
    <t>5.1.1</t>
  </si>
  <si>
    <t>5.1.2</t>
  </si>
  <si>
    <t>5.1.3</t>
  </si>
  <si>
    <t>5.1.4</t>
  </si>
  <si>
    <t>5.1.5</t>
  </si>
  <si>
    <t>5.1.6</t>
  </si>
  <si>
    <t>5.1.7</t>
  </si>
  <si>
    <t>6.1</t>
  </si>
  <si>
    <t>6.1.1</t>
  </si>
  <si>
    <t>6.2</t>
  </si>
  <si>
    <t>6.3</t>
  </si>
  <si>
    <t>6.1.2</t>
  </si>
  <si>
    <t>6.1.3</t>
  </si>
  <si>
    <t>6.2.1</t>
  </si>
  <si>
    <t>6.2.2</t>
  </si>
  <si>
    <t>6.2.3</t>
  </si>
  <si>
    <t>6.3.1</t>
  </si>
  <si>
    <t>6.3.2</t>
  </si>
  <si>
    <t>6.3.3</t>
  </si>
  <si>
    <t>7.1</t>
  </si>
  <si>
    <t>7.2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</si>
  <si>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</si>
  <si>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</si>
  <si>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</si>
  <si>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</si>
  <si>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</si>
  <si>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</si>
  <si>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</si>
  <si>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</si>
  <si>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</si>
  <si>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</si>
  <si>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9.6</t>
  </si>
  <si>
    <t>9.7</t>
  </si>
  <si>
    <t>CPOS 176</t>
  </si>
  <si>
    <t>04.03.020</t>
  </si>
  <si>
    <t>Retirada de telhamento em barro</t>
  </si>
  <si>
    <t>06.11.040</t>
  </si>
  <si>
    <t>Reaterro manual apiloado sem controle de compactação</t>
  </si>
  <si>
    <t>09.01.030</t>
  </si>
  <si>
    <t>Forma em madeira comum para estrutura</t>
  </si>
  <si>
    <t>11.03.090</t>
  </si>
  <si>
    <t>Concreto preparado no local, fck = 20 MPa</t>
  </si>
  <si>
    <t>14.04.210</t>
  </si>
  <si>
    <t>Alvenaria de bloco cerâmico de vedação, uso revestido, de 14 cm</t>
  </si>
  <si>
    <t>15.01.310</t>
  </si>
  <si>
    <t>Estrutura em terças para telhas de barro</t>
  </si>
  <si>
    <t>16.33.022</t>
  </si>
  <si>
    <t>16.33.062</t>
  </si>
  <si>
    <t>16.40.120</t>
  </si>
  <si>
    <t>Recolocação de telhas de barro tipo francesa</t>
  </si>
  <si>
    <t>17.02.120</t>
  </si>
  <si>
    <t>Emboço comum</t>
  </si>
  <si>
    <t>18.08.090</t>
  </si>
  <si>
    <t>Revestimento em porcelanato esmaltado acetinado para área interna e ambiente com acesso ao exterior, grupo de absorção BIa, resistência química B, assentado com argamassa colante industrializada, rejuntado</t>
  </si>
  <si>
    <t>18.08.100</t>
  </si>
  <si>
    <t>Rodapé em porcelanato esmaltado acetinado para área interna e ambiente com acesso ao exterior, grupo de absorção BIa, resistência química B, assentado com argamassa colante industrializada, rejuntado</t>
  </si>
  <si>
    <t>18.11.042</t>
  </si>
  <si>
    <t>Revestimento em placa cerâmica esmaltada de 20x20 cm, tipo monocolor, assentado e rejuntado com argamassa industrializada</t>
  </si>
  <si>
    <t>19.01.390</t>
  </si>
  <si>
    <t>Peitoril e/ou soleira em granito, espessura de 2 cm e largura de 21 até 30 cm</t>
  </si>
  <si>
    <t>19.01.410</t>
  </si>
  <si>
    <t>Revestimento em granito jateado, espessura de 2,0 cm, assente com massa</t>
  </si>
  <si>
    <t>19.01.430</t>
  </si>
  <si>
    <t>Degrau e espelho em granito jateado, espessura de 2 cm, assente com massa</t>
  </si>
  <si>
    <t>21.01.100</t>
  </si>
  <si>
    <t>Revestimento em borracha sintética preta, espessura de 4 mm - colado</t>
  </si>
  <si>
    <t>Forro em lâmina de PVC</t>
  </si>
  <si>
    <t>24.01.030</t>
  </si>
  <si>
    <t>Caixilho em ferro basculante, sob medida</t>
  </si>
  <si>
    <t>24.02.010</t>
  </si>
  <si>
    <t>Porta em ferro de abrir, para receber vidro, sob medida</t>
  </si>
  <si>
    <t>24.02.060</t>
  </si>
  <si>
    <t>Porta/portão de abrir em chapa, sob medida</t>
  </si>
  <si>
    <t>33.10.041</t>
  </si>
  <si>
    <t>33.11.050</t>
  </si>
  <si>
    <t>33.12.011</t>
  </si>
  <si>
    <t>41.02.580</t>
  </si>
  <si>
    <t>Lâmpada LED 13,5W, com base E-27, 1400 até 1510lm</t>
  </si>
  <si>
    <t>41.13.102</t>
  </si>
  <si>
    <t>Luminária blindada tipo arandela de 45º e 90º, para lâmpada LED</t>
  </si>
  <si>
    <t>41.14.510</t>
  </si>
  <si>
    <t>Luminária industrial pendente com refletor prismático sem alojamento para reator, para lâmpadas vapor de sódio/metálico ou mista de 150/250/400W</t>
  </si>
  <si>
    <t>44.01.110</t>
  </si>
  <si>
    <t>Lavatório de louça com coluna</t>
  </si>
  <si>
    <t>44.01.800</t>
  </si>
  <si>
    <t>Bacia sifonada com caixa de descarga acoplada sem tampa - 6 litros</t>
  </si>
  <si>
    <t>44.20.280</t>
  </si>
  <si>
    <t>Tampa de plástico para bacia sanitária</t>
  </si>
  <si>
    <t>46.01.020</t>
  </si>
  <si>
    <t>Tubo de PVC rígido soldável marrom, DN= 25 mm, (3/4´), inclusive conexões</t>
  </si>
  <si>
    <t>46.02.050</t>
  </si>
  <si>
    <t>Tubo de PVC rígido branco PxB com virola e anel de borracha, linha esgoto série normal, DN= 50 mm, inclusive conexões</t>
  </si>
  <si>
    <t>46.02.070</t>
  </si>
  <si>
    <t>Tubo de PVC rígido branco PxB com virola e anel de borracha, linha esgoto série normal, DN= 100 mm, inclusive conexões</t>
  </si>
  <si>
    <t>46.05.020</t>
  </si>
  <si>
    <t>49.01.016</t>
  </si>
  <si>
    <t>Caixa sifonada de PVC rígido de 100 x 100 x 50 mm, com grelha</t>
  </si>
  <si>
    <t>49.03.020</t>
  </si>
  <si>
    <t>55.01.140</t>
  </si>
  <si>
    <t>Esmalte à base água em superfície metálica, inclusive preparo (grades, portas) (1ª linha)</t>
  </si>
  <si>
    <t>Esmalte à base de água em madeira, inclusive preparo (portas) (1ª linha)</t>
  </si>
  <si>
    <t>Calha, rufo, afins em chapa galvanizada nº 24 - corte 1,00 m (calha)</t>
  </si>
  <si>
    <t>placa com dimensão de 3,0x2,0m</t>
  </si>
  <si>
    <t>Hall de Entrada</t>
  </si>
  <si>
    <t>Secretaria</t>
  </si>
  <si>
    <t>Salão do Bar</t>
  </si>
  <si>
    <t>local</t>
  </si>
  <si>
    <t>área</t>
  </si>
  <si>
    <t>salão de dança</t>
  </si>
  <si>
    <t>total</t>
  </si>
  <si>
    <t>comprimento</t>
  </si>
  <si>
    <t>altura</t>
  </si>
  <si>
    <t>8,74+2,60+2,85+3,95+4,15+8,80+2,90+2,90</t>
  </si>
  <si>
    <t>15,15+1,35</t>
  </si>
  <si>
    <t>9,30+5,93+7,70+3,95</t>
  </si>
  <si>
    <t>13 esquadria de madeira com dimensões de 1,50x1,50m</t>
  </si>
  <si>
    <t>somatória do item 1.3 com o item 1.4</t>
  </si>
  <si>
    <t>porta de entrada dimensão de 2,0x2,6m</t>
  </si>
  <si>
    <t>13 janela nas dimensões de 1,50x1,50m</t>
  </si>
  <si>
    <t>Porta Principal de entrada</t>
  </si>
  <si>
    <t xml:space="preserve">Porta com dimensão de 2,30x3,40 </t>
  </si>
  <si>
    <t>50,60+18,80</t>
  </si>
  <si>
    <t>Salão de dança</t>
  </si>
  <si>
    <t>Escritorio</t>
  </si>
  <si>
    <t>Sala 4</t>
  </si>
  <si>
    <t>será instalada na Sala 4</t>
  </si>
  <si>
    <t>sala 1</t>
  </si>
  <si>
    <t>sala 2</t>
  </si>
  <si>
    <t>sala 3</t>
  </si>
  <si>
    <t>hall sup</t>
  </si>
  <si>
    <t>altura contrapiso m</t>
  </si>
  <si>
    <t>área (m²)</t>
  </si>
  <si>
    <t>área de serviço</t>
  </si>
  <si>
    <t>fachada</t>
  </si>
  <si>
    <t>muro 1</t>
  </si>
  <si>
    <t>muro 2</t>
  </si>
  <si>
    <t>área - subtotal (m²)</t>
  </si>
  <si>
    <t>lateral direita do prédio</t>
  </si>
  <si>
    <t>espaço externo 1</t>
  </si>
  <si>
    <t>sala 5</t>
  </si>
  <si>
    <t>palco</t>
  </si>
  <si>
    <t>camarim</t>
  </si>
  <si>
    <t>6.2.4</t>
  </si>
  <si>
    <t>sanitario masculino</t>
  </si>
  <si>
    <t>sanitario feminino</t>
  </si>
  <si>
    <t>sanitario camarim</t>
  </si>
  <si>
    <t>Esmalte à base de água em massa, inclusive preparo (barrado superior de 1,2m)</t>
  </si>
  <si>
    <t>porta de entrada 2,0x2,60</t>
  </si>
  <si>
    <t>grades das janelas inferiores, 6 unidades, 1,50x1,50m</t>
  </si>
  <si>
    <t>5 janelas basculante no salao de dança com dimensão de 1,00x2,00m</t>
  </si>
  <si>
    <t>área(m²)</t>
  </si>
  <si>
    <t>Sala 5</t>
  </si>
  <si>
    <t>5 portas de 80cmx210cm</t>
  </si>
  <si>
    <t>dimensões</t>
  </si>
  <si>
    <t>22 luminárias a serem instaladas na fachada do prédio</t>
  </si>
  <si>
    <t>22 lâmpadas a serem instaladas na fachada do prédio</t>
  </si>
  <si>
    <t>25 luminárias a serem instaladas no salao de dança</t>
  </si>
  <si>
    <t>cabo de cobre a ser utilizado na instalação das luminárias da fachada e no salão de dança</t>
  </si>
  <si>
    <t>eletroduto a ser utilizado na instalação das luminárias da fachada e no salão de dança</t>
  </si>
  <si>
    <t>disjuntor a ser utilizado na instalação das luminárias da fachada e no salão de dança</t>
  </si>
  <si>
    <t>Caixa de pvc a ser utilizada na instalação das luminárias da fachada e no salão de dança</t>
  </si>
  <si>
    <t>calha acima do salão de dança</t>
  </si>
  <si>
    <t>calha acima do pav superior</t>
  </si>
  <si>
    <t>calha acima da cozinha e sala 4</t>
  </si>
  <si>
    <t>pingadeira que irá passar por toda a fachada do prédio</t>
  </si>
  <si>
    <t>MEMÓRIA DE CÁLCULO</t>
  </si>
  <si>
    <t>10.1</t>
  </si>
  <si>
    <t>10.2</t>
  </si>
  <si>
    <t>10.3</t>
  </si>
  <si>
    <t>Calha, rufo, afins em chapa galvanizada nº 24 - corte 0,33 m (Pingadeira)</t>
  </si>
  <si>
    <t>Limpeza de superfície com hidrojateamento (telha)</t>
  </si>
  <si>
    <t>8.6</t>
  </si>
  <si>
    <t>8.7</t>
  </si>
  <si>
    <t>8 janelas basculante no salao de dança com dimensão de 1,00x2,00m</t>
  </si>
  <si>
    <t>4.8</t>
  </si>
  <si>
    <t>4.9</t>
  </si>
  <si>
    <t>Portão externo ao prédio, dimensão de 2,40x2,00m</t>
  </si>
  <si>
    <t>portão 2,40x2,0</t>
  </si>
  <si>
    <t>a.serviço</t>
  </si>
  <si>
    <t>Tubo PVC rígido, junta elástica, DN= 100 mm, inclusive conexões (coletor de águas pluviais)</t>
  </si>
  <si>
    <t>instalação de 2 coletores de agua pluvial no salão de dança</t>
  </si>
  <si>
    <t>salão de dança, sanitario masculino e feminino, palco, camarim</t>
  </si>
  <si>
    <t xml:space="preserve">COBERTURA </t>
  </si>
  <si>
    <t>Construção de Banheiros</t>
  </si>
  <si>
    <t>Caixa em alvenaria, 600 x 600 x 600 mm</t>
  </si>
  <si>
    <t>ESCADARIA E RAMPA DE ACESSIBILIDADE (INTERNA)</t>
  </si>
  <si>
    <t>rampa</t>
  </si>
  <si>
    <t xml:space="preserve">piso escada </t>
  </si>
  <si>
    <t>espelho escada</t>
  </si>
  <si>
    <t>7.3</t>
  </si>
  <si>
    <t>7.4</t>
  </si>
  <si>
    <t>7.5</t>
  </si>
  <si>
    <t>7.6</t>
  </si>
  <si>
    <t>dimensão de 0,68x10,7</t>
  </si>
  <si>
    <t>5 degraus com comprimento de 10,70</t>
  </si>
  <si>
    <t>2,7+2,7+7,47+7,47</t>
  </si>
  <si>
    <t>porta para sala 5, dimensão de 1,20x2,10m</t>
  </si>
  <si>
    <t>2 bacias sanitárias</t>
  </si>
  <si>
    <t>2 tampas plastica para bacia sanitária</t>
  </si>
  <si>
    <t xml:space="preserve">2 lavatórios </t>
  </si>
  <si>
    <t>paredes</t>
  </si>
  <si>
    <t>2,7+2</t>
  </si>
  <si>
    <t>dois lados das paredes</t>
  </si>
  <si>
    <t>wc 1</t>
  </si>
  <si>
    <t>wc 2</t>
  </si>
  <si>
    <t>1,28+2+1,28+2</t>
  </si>
  <si>
    <t xml:space="preserve">sala 5 </t>
  </si>
  <si>
    <t>cirvulação</t>
  </si>
  <si>
    <t>subtotal m³</t>
  </si>
  <si>
    <t>tubulação do lavatório até a tubulação de 100mm</t>
  </si>
  <si>
    <t>tubulação do dos sanitários até a rede pública coletora de esgoto</t>
  </si>
  <si>
    <t>ralo sifonado localizado nos banheiros</t>
  </si>
  <si>
    <t>caide inspeção localizada na área externa</t>
  </si>
  <si>
    <t>tubulação de água fria</t>
  </si>
  <si>
    <t>acréscimo</t>
  </si>
  <si>
    <t>observar critério de medição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</si>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</sst>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_(&quot;R$&quot;* #,##0.00_);_(&quot;R$&quot;* \(#,##0.00\);_(&quot;R$&quot;* &quot;-&quot;??_);_(@_)"/>
    <numFmt numFmtId="168" formatCode="&quot;R$&quot;\ #,##0.00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Courier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1"/>
      <color indexed="8"/>
      <name val="Calibri"/>
      <family val="2"/>
      <scheme val="minor"/>
    </font>
    <font>
      <sz val="12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0" fontId="8" fillId="0" borderId="0"/>
    <xf numFmtId="166" fontId="1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273">
    <xf numFmtId="0" fontId="0" fillId="0" borderId="0" xfId="0"/>
    <xf numFmtId="165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" fillId="0" borderId="0" xfId="0" applyFont="1"/>
    <xf numFmtId="0" fontId="6" fillId="0" borderId="0" xfId="0" applyFont="1"/>
    <xf numFmtId="2" fontId="3" fillId="0" borderId="0" xfId="2" applyNumberFormat="1" applyFont="1" applyAlignment="1">
      <alignment horizontal="left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165" fontId="3" fillId="0" borderId="0" xfId="3" applyNumberFormat="1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39" fontId="3" fillId="0" borderId="0" xfId="0" applyNumberFormat="1" applyFont="1"/>
    <xf numFmtId="10" fontId="3" fillId="0" borderId="0" xfId="0" applyNumberFormat="1" applyFont="1"/>
    <xf numFmtId="43" fontId="9" fillId="0" borderId="0" xfId="0" applyNumberFormat="1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7" xfId="0" applyFont="1" applyBorder="1"/>
    <xf numFmtId="0" fontId="1" fillId="0" borderId="12" xfId="0" applyFont="1" applyBorder="1"/>
    <xf numFmtId="0" fontId="3" fillId="0" borderId="14" xfId="0" applyFont="1" applyBorder="1"/>
    <xf numFmtId="0" fontId="6" fillId="0" borderId="14" xfId="0" applyFont="1" applyBorder="1"/>
    <xf numFmtId="165" fontId="3" fillId="0" borderId="14" xfId="0" applyNumberFormat="1" applyFont="1" applyBorder="1"/>
    <xf numFmtId="43" fontId="11" fillId="0" borderId="14" xfId="0" applyNumberFormat="1" applyFont="1" applyBorder="1"/>
    <xf numFmtId="165" fontId="3" fillId="0" borderId="16" xfId="0" applyNumberFormat="1" applyFont="1" applyBorder="1"/>
    <xf numFmtId="0" fontId="3" fillId="0" borderId="17" xfId="0" applyFont="1" applyBorder="1"/>
    <xf numFmtId="2" fontId="3" fillId="0" borderId="0" xfId="0" applyNumberFormat="1" applyFont="1" applyAlignment="1">
      <alignment vertical="center"/>
    </xf>
    <xf numFmtId="0" fontId="0" fillId="0" borderId="13" xfId="0" applyBorder="1" applyAlignment="1">
      <alignment horizontal="center"/>
    </xf>
    <xf numFmtId="168" fontId="10" fillId="0" borderId="0" xfId="0" applyNumberFormat="1" applyFont="1" applyAlignment="1">
      <alignment horizontal="center" vertical="center"/>
    </xf>
    <xf numFmtId="0" fontId="12" fillId="3" borderId="0" xfId="0" applyFont="1" applyFill="1" applyAlignment="1">
      <alignment vertical="center"/>
    </xf>
    <xf numFmtId="43" fontId="9" fillId="3" borderId="0" xfId="0" applyNumberFormat="1" applyFont="1" applyFill="1" applyAlignment="1">
      <alignment vertical="center"/>
    </xf>
    <xf numFmtId="0" fontId="12" fillId="4" borderId="0" xfId="0" applyFont="1" applyFill="1" applyAlignment="1">
      <alignment vertical="center"/>
    </xf>
    <xf numFmtId="43" fontId="9" fillId="4" borderId="0" xfId="0" applyNumberFormat="1" applyFont="1" applyFill="1" applyAlignment="1">
      <alignment vertical="center"/>
    </xf>
    <xf numFmtId="0" fontId="4" fillId="3" borderId="2" xfId="0" applyFont="1" applyFill="1" applyBorder="1" applyAlignment="1">
      <alignment vertical="center"/>
    </xf>
    <xf numFmtId="43" fontId="3" fillId="0" borderId="0" xfId="0" applyNumberFormat="1" applyFont="1"/>
    <xf numFmtId="0" fontId="3" fillId="4" borderId="0" xfId="0" applyFont="1" applyFill="1" applyAlignment="1">
      <alignment vertical="center"/>
    </xf>
    <xf numFmtId="0" fontId="3" fillId="4" borderId="0" xfId="0" applyFont="1" applyFill="1"/>
    <xf numFmtId="43" fontId="3" fillId="4" borderId="0" xfId="0" applyNumberFormat="1" applyFont="1" applyFill="1"/>
    <xf numFmtId="2" fontId="3" fillId="0" borderId="0" xfId="0" applyNumberFormat="1" applyFont="1"/>
    <xf numFmtId="0" fontId="4" fillId="3" borderId="7" xfId="0" applyFont="1" applyFill="1" applyBorder="1" applyAlignment="1">
      <alignment vertical="center"/>
    </xf>
    <xf numFmtId="165" fontId="7" fillId="4" borderId="2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7" fontId="4" fillId="0" borderId="6" xfId="0" applyNumberFormat="1" applyFont="1" applyBorder="1" applyAlignment="1">
      <alignment horizontal="center" vertical="center"/>
    </xf>
    <xf numFmtId="167" fontId="4" fillId="0" borderId="23" xfId="1" applyFont="1" applyBorder="1" applyAlignment="1">
      <alignment horizontal="right" vertical="center" wrapText="1"/>
    </xf>
    <xf numFmtId="0" fontId="4" fillId="3" borderId="29" xfId="0" applyFont="1" applyFill="1" applyBorder="1" applyAlignment="1">
      <alignment horizontal="center" vertical="center"/>
    </xf>
    <xf numFmtId="165" fontId="4" fillId="3" borderId="3" xfId="0" applyNumberFormat="1" applyFont="1" applyFill="1" applyBorder="1" applyAlignment="1">
      <alignment vertical="center"/>
    </xf>
    <xf numFmtId="0" fontId="7" fillId="4" borderId="32" xfId="0" applyFont="1" applyFill="1" applyBorder="1" applyAlignment="1">
      <alignment horizontal="center" vertical="center"/>
    </xf>
    <xf numFmtId="165" fontId="7" fillId="4" borderId="3" xfId="0" applyNumberFormat="1" applyFont="1" applyFill="1" applyBorder="1" applyAlignment="1">
      <alignment vertical="center"/>
    </xf>
    <xf numFmtId="0" fontId="7" fillId="4" borderId="4" xfId="0" applyFont="1" applyFill="1" applyBorder="1" applyAlignment="1">
      <alignment horizontal="center" vertical="center"/>
    </xf>
    <xf numFmtId="0" fontId="17" fillId="0" borderId="4" xfId="4" applyFont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7" fillId="4" borderId="29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wrapText="1"/>
    </xf>
    <xf numFmtId="165" fontId="4" fillId="3" borderId="2" xfId="0" applyNumberFormat="1" applyFont="1" applyFill="1" applyBorder="1" applyAlignment="1">
      <alignment vertical="center"/>
    </xf>
    <xf numFmtId="0" fontId="17" fillId="0" borderId="29" xfId="4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1" fillId="0" borderId="0" xfId="2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65" fontId="4" fillId="3" borderId="34" xfId="0" applyNumberFormat="1" applyFont="1" applyFill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14" fontId="4" fillId="0" borderId="31" xfId="0" applyNumberFormat="1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167" fontId="4" fillId="0" borderId="0" xfId="1" applyFont="1" applyAlignment="1">
      <alignment horizontal="right" vertical="center"/>
    </xf>
    <xf numFmtId="10" fontId="4" fillId="0" borderId="0" xfId="0" applyNumberFormat="1" applyFont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165" fontId="4" fillId="0" borderId="23" xfId="0" applyNumberFormat="1" applyFont="1" applyBorder="1" applyAlignment="1">
      <alignment horizontal="center" vertical="center"/>
    </xf>
    <xf numFmtId="165" fontId="4" fillId="0" borderId="31" xfId="0" applyNumberFormat="1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justify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justify" wrapText="1"/>
    </xf>
    <xf numFmtId="165" fontId="7" fillId="0" borderId="2" xfId="0" applyNumberFormat="1" applyFont="1" applyBorder="1"/>
    <xf numFmtId="167" fontId="7" fillId="0" borderId="2" xfId="1" applyFont="1" applyBorder="1" applyAlignment="1">
      <alignment horizontal="right" vertical="center"/>
    </xf>
    <xf numFmtId="165" fontId="7" fillId="0" borderId="3" xfId="0" applyNumberFormat="1" applyFont="1" applyBorder="1"/>
    <xf numFmtId="0" fontId="17" fillId="5" borderId="2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left" vertical="top" wrapText="1"/>
    </xf>
    <xf numFmtId="0" fontId="17" fillId="5" borderId="2" xfId="0" applyFont="1" applyFill="1" applyBorder="1" applyAlignment="1">
      <alignment horizontal="center" vertical="top" wrapText="1"/>
    </xf>
    <xf numFmtId="0" fontId="17" fillId="5" borderId="7" xfId="0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wrapText="1"/>
    </xf>
    <xf numFmtId="0" fontId="17" fillId="0" borderId="2" xfId="4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/>
    </xf>
    <xf numFmtId="0" fontId="7" fillId="4" borderId="2" xfId="0" applyFont="1" applyFill="1" applyBorder="1"/>
    <xf numFmtId="0" fontId="7" fillId="4" borderId="0" xfId="0" applyFont="1" applyFill="1" applyAlignment="1">
      <alignment horizontal="center" vertical="center"/>
    </xf>
    <xf numFmtId="0" fontId="4" fillId="4" borderId="0" xfId="0" applyFont="1" applyFill="1"/>
    <xf numFmtId="0" fontId="7" fillId="4" borderId="0" xfId="0" applyFont="1" applyFill="1" applyAlignment="1">
      <alignment horizontal="center"/>
    </xf>
    <xf numFmtId="0" fontId="7" fillId="4" borderId="0" xfId="0" applyFont="1" applyFill="1"/>
    <xf numFmtId="0" fontId="17" fillId="3" borderId="2" xfId="4" applyFont="1" applyFill="1" applyBorder="1" applyAlignment="1">
      <alignment horizontal="center" vertical="center"/>
    </xf>
    <xf numFmtId="165" fontId="7" fillId="3" borderId="2" xfId="0" applyNumberFormat="1" applyFont="1" applyFill="1" applyBorder="1" applyAlignment="1">
      <alignment vertical="center"/>
    </xf>
    <xf numFmtId="166" fontId="4" fillId="0" borderId="0" xfId="0" applyNumberFormat="1" applyFont="1" applyAlignment="1">
      <alignment horizontal="center"/>
    </xf>
    <xf numFmtId="166" fontId="4" fillId="0" borderId="23" xfId="3" applyFont="1" applyBorder="1" applyAlignment="1">
      <alignment horizontal="center"/>
    </xf>
    <xf numFmtId="166" fontId="7" fillId="0" borderId="2" xfId="3" applyFont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166" fontId="7" fillId="4" borderId="2" xfId="3" applyFont="1" applyFill="1" applyBorder="1" applyAlignment="1">
      <alignment horizontal="center"/>
    </xf>
    <xf numFmtId="166" fontId="7" fillId="4" borderId="2" xfId="0" applyNumberFormat="1" applyFont="1" applyFill="1" applyBorder="1" applyAlignment="1">
      <alignment horizontal="center"/>
    </xf>
    <xf numFmtId="0" fontId="17" fillId="3" borderId="2" xfId="4" applyFont="1" applyFill="1" applyBorder="1" applyAlignment="1">
      <alignment horizontal="center"/>
    </xf>
    <xf numFmtId="165" fontId="3" fillId="0" borderId="0" xfId="3" applyNumberFormat="1" applyFont="1" applyAlignment="1">
      <alignment horizontal="center" wrapText="1"/>
    </xf>
    <xf numFmtId="165" fontId="3" fillId="0" borderId="0" xfId="2" applyNumberFormat="1" applyFont="1" applyAlignment="1">
      <alignment horizontal="center" wrapText="1"/>
    </xf>
    <xf numFmtId="4" fontId="3" fillId="0" borderId="0" xfId="2" applyNumberFormat="1" applyFont="1" applyAlignment="1">
      <alignment horizontal="center" wrapText="1"/>
    </xf>
    <xf numFmtId="166" fontId="3" fillId="0" borderId="0" xfId="3" applyFont="1" applyAlignment="1">
      <alignment horizontal="center"/>
    </xf>
    <xf numFmtId="4" fontId="1" fillId="0" borderId="16" xfId="2" applyNumberFormat="1" applyFont="1" applyBorder="1" applyAlignment="1">
      <alignment horizontal="center" wrapText="1"/>
    </xf>
    <xf numFmtId="4" fontId="1" fillId="0" borderId="0" xfId="3" applyNumberFormat="1" applyAlignment="1">
      <alignment horizontal="center" wrapText="1"/>
    </xf>
    <xf numFmtId="4" fontId="1" fillId="0" borderId="0" xfId="2" applyNumberFormat="1" applyFont="1" applyAlignment="1">
      <alignment horizontal="center" wrapText="1"/>
    </xf>
    <xf numFmtId="2" fontId="17" fillId="0" borderId="2" xfId="4" applyNumberFormat="1" applyFont="1" applyBorder="1" applyAlignment="1">
      <alignment horizontal="right"/>
    </xf>
    <xf numFmtId="2" fontId="7" fillId="4" borderId="2" xfId="0" applyNumberFormat="1" applyFont="1" applyFill="1" applyBorder="1" applyAlignment="1">
      <alignment horizontal="right"/>
    </xf>
    <xf numFmtId="2" fontId="7" fillId="4" borderId="1" xfId="0" applyNumberFormat="1" applyFont="1" applyFill="1" applyBorder="1" applyAlignment="1">
      <alignment horizontal="right"/>
    </xf>
    <xf numFmtId="0" fontId="17" fillId="5" borderId="7" xfId="0" applyFont="1" applyFill="1" applyBorder="1" applyAlignment="1">
      <alignment horizontal="center" vertical="top" wrapText="1"/>
    </xf>
    <xf numFmtId="166" fontId="7" fillId="4" borderId="7" xfId="0" applyNumberFormat="1" applyFont="1" applyFill="1" applyBorder="1" applyAlignment="1">
      <alignment horizontal="center"/>
    </xf>
    <xf numFmtId="165" fontId="7" fillId="4" borderId="34" xfId="0" applyNumberFormat="1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 wrapText="1"/>
    </xf>
    <xf numFmtId="0" fontId="17" fillId="5" borderId="1" xfId="0" applyFont="1" applyFill="1" applyBorder="1" applyAlignment="1">
      <alignment horizontal="center" vertical="top" wrapText="1"/>
    </xf>
    <xf numFmtId="0" fontId="17" fillId="5" borderId="1" xfId="0" applyFont="1" applyFill="1" applyBorder="1" applyAlignment="1">
      <alignment horizontal="left" vertical="top" wrapText="1"/>
    </xf>
    <xf numFmtId="165" fontId="7" fillId="4" borderId="1" xfId="0" applyNumberFormat="1" applyFont="1" applyFill="1" applyBorder="1" applyAlignment="1">
      <alignment vertical="center"/>
    </xf>
    <xf numFmtId="43" fontId="17" fillId="5" borderId="1" xfId="5" applyFont="1" applyFill="1" applyBorder="1" applyAlignment="1">
      <alignment horizontal="right" vertical="top" wrapText="1"/>
    </xf>
    <xf numFmtId="165" fontId="7" fillId="4" borderId="35" xfId="0" applyNumberFormat="1" applyFont="1" applyFill="1" applyBorder="1" applyAlignment="1">
      <alignment vertical="center"/>
    </xf>
    <xf numFmtId="0" fontId="1" fillId="5" borderId="2" xfId="0" applyFont="1" applyFill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/>
    <xf numFmtId="0" fontId="17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167" fontId="14" fillId="0" borderId="2" xfId="1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2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2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2" fillId="0" borderId="2" xfId="0" applyFont="1" applyBorder="1"/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14" fontId="4" fillId="3" borderId="2" xfId="0" applyNumberFormat="1" applyFont="1" applyFill="1" applyBorder="1" applyAlignment="1">
      <alignment horizontal="center" vertical="center"/>
    </xf>
    <xf numFmtId="10" fontId="4" fillId="3" borderId="2" xfId="0" applyNumberFormat="1" applyFont="1" applyFill="1" applyBorder="1" applyAlignment="1">
      <alignment horizontal="center" vertical="center"/>
    </xf>
    <xf numFmtId="17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166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166" fontId="4" fillId="3" borderId="2" xfId="3" applyFont="1" applyFill="1" applyBorder="1" applyAlignment="1">
      <alignment horizontal="center" vertical="center"/>
    </xf>
    <xf numFmtId="167" fontId="4" fillId="3" borderId="2" xfId="1" applyFont="1" applyFill="1" applyBorder="1" applyAlignment="1">
      <alignment horizontal="right" vertical="center"/>
    </xf>
    <xf numFmtId="165" fontId="4" fillId="3" borderId="2" xfId="0" applyNumberFormat="1" applyFont="1" applyFill="1" applyBorder="1" applyAlignment="1">
      <alignment horizontal="center" vertical="center"/>
    </xf>
    <xf numFmtId="167" fontId="4" fillId="3" borderId="2" xfId="1" applyFont="1" applyFill="1" applyBorder="1" applyAlignment="1">
      <alignment horizontal="right" vertical="center" wrapText="1"/>
    </xf>
    <xf numFmtId="0" fontId="7" fillId="5" borderId="2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2" fontId="7" fillId="4" borderId="2" xfId="0" applyNumberFormat="1" applyFont="1" applyFill="1" applyBorder="1" applyAlignment="1">
      <alignment horizontal="right" vertical="center"/>
    </xf>
    <xf numFmtId="2" fontId="0" fillId="0" borderId="2" xfId="0" applyNumberForma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2" fontId="2" fillId="3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 wrapText="1"/>
    </xf>
    <xf numFmtId="2" fontId="0" fillId="0" borderId="2" xfId="0" applyNumberForma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/>
    <xf numFmtId="0" fontId="2" fillId="3" borderId="2" xfId="0" applyFont="1" applyFill="1" applyBorder="1"/>
    <xf numFmtId="0" fontId="7" fillId="0" borderId="3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left" vertical="top" wrapText="1"/>
    </xf>
    <xf numFmtId="166" fontId="7" fillId="0" borderId="2" xfId="3" applyFont="1" applyFill="1" applyBorder="1" applyAlignment="1">
      <alignment horizontal="center"/>
    </xf>
    <xf numFmtId="0" fontId="3" fillId="0" borderId="0" xfId="0" applyFont="1" applyFill="1"/>
    <xf numFmtId="43" fontId="3" fillId="0" borderId="0" xfId="0" applyNumberFormat="1" applyFont="1" applyFill="1"/>
    <xf numFmtId="0" fontId="17" fillId="5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 wrapText="1"/>
    </xf>
    <xf numFmtId="166" fontId="7" fillId="4" borderId="2" xfId="0" applyNumberFormat="1" applyFont="1" applyFill="1" applyBorder="1" applyAlignment="1">
      <alignment horizontal="center" vertical="center"/>
    </xf>
    <xf numFmtId="166" fontId="7" fillId="4" borderId="2" xfId="3" applyFont="1" applyFill="1" applyBorder="1" applyAlignment="1">
      <alignment horizontal="center" vertical="center"/>
    </xf>
    <xf numFmtId="2" fontId="7" fillId="4" borderId="2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7" xfId="0" applyFill="1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/>
    <xf numFmtId="0" fontId="0" fillId="0" borderId="3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33" xfId="0" applyBorder="1"/>
    <xf numFmtId="0" fontId="0" fillId="0" borderId="37" xfId="0" applyBorder="1" applyAlignment="1">
      <alignment horizontal="center" vertical="center"/>
    </xf>
    <xf numFmtId="0" fontId="0" fillId="0" borderId="38" xfId="0" applyBorder="1"/>
    <xf numFmtId="0" fontId="0" fillId="0" borderId="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9" xfId="0" applyBorder="1" applyAlignment="1">
      <alignment horizontal="left" vertical="center" wrapText="1"/>
    </xf>
    <xf numFmtId="0" fontId="0" fillId="0" borderId="9" xfId="0" applyBorder="1"/>
    <xf numFmtId="0" fontId="10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168" fontId="10" fillId="0" borderId="0" xfId="0" applyNumberFormat="1" applyFont="1" applyBorder="1" applyAlignment="1">
      <alignment horizontal="center" vertical="center"/>
    </xf>
    <xf numFmtId="167" fontId="4" fillId="0" borderId="0" xfId="1" applyFont="1" applyBorder="1" applyAlignment="1">
      <alignment horizontal="right" vertical="center"/>
    </xf>
    <xf numFmtId="167" fontId="7" fillId="0" borderId="0" xfId="1" applyFont="1" applyAlignment="1">
      <alignment horizontal="right" vertical="center"/>
    </xf>
    <xf numFmtId="167" fontId="7" fillId="0" borderId="16" xfId="1" applyFont="1" applyBorder="1" applyAlignment="1">
      <alignment horizontal="right" vertical="center"/>
    </xf>
    <xf numFmtId="0" fontId="4" fillId="0" borderId="5" xfId="0" applyFont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/>
    </xf>
    <xf numFmtId="0" fontId="7" fillId="0" borderId="25" xfId="0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7" fillId="5" borderId="2" xfId="4" applyFont="1" applyFill="1" applyBorder="1" applyAlignment="1">
      <alignment horizontal="left" vertical="top" wrapText="1"/>
    </xf>
    <xf numFmtId="0" fontId="7" fillId="5" borderId="2" xfId="4" applyFont="1" applyFill="1" applyBorder="1" applyAlignment="1">
      <alignment horizontal="center" vertical="top" wrapText="1"/>
    </xf>
    <xf numFmtId="0" fontId="7" fillId="0" borderId="27" xfId="0" applyFont="1" applyBorder="1" applyAlignment="1">
      <alignment vertical="center"/>
    </xf>
    <xf numFmtId="0" fontId="15" fillId="0" borderId="0" xfId="0" applyFont="1" applyAlignment="1">
      <alignment vertical="center" wrapText="1"/>
    </xf>
    <xf numFmtId="0" fontId="4" fillId="0" borderId="5" xfId="0" applyFont="1" applyBorder="1" applyAlignment="1"/>
    <xf numFmtId="0" fontId="10" fillId="2" borderId="19" xfId="0" applyFont="1" applyFill="1" applyBorder="1" applyAlignment="1">
      <alignment vertical="center"/>
    </xf>
    <xf numFmtId="0" fontId="10" fillId="2" borderId="20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13" fillId="0" borderId="11" xfId="0" applyFont="1" applyBorder="1" applyAlignment="1"/>
    <xf numFmtId="0" fontId="13" fillId="0" borderId="0" xfId="0" applyFont="1" applyAlignment="1"/>
    <xf numFmtId="0" fontId="5" fillId="0" borderId="0" xfId="0" applyFont="1" applyAlignment="1"/>
    <xf numFmtId="0" fontId="10" fillId="0" borderId="0" xfId="0" applyFont="1" applyAlignment="1"/>
    <xf numFmtId="0" fontId="6" fillId="0" borderId="16" xfId="0" applyFont="1" applyBorder="1" applyAlignment="1"/>
    <xf numFmtId="0" fontId="4" fillId="0" borderId="23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7" fillId="3" borderId="7" xfId="0" applyFont="1" applyFill="1" applyBorder="1" applyAlignment="1">
      <alignment vertical="center"/>
    </xf>
    <xf numFmtId="164" fontId="0" fillId="0" borderId="0" xfId="0" applyNumberFormat="1"/>
    <xf numFmtId="0" fontId="4" fillId="0" borderId="2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19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168" fontId="10" fillId="2" borderId="20" xfId="0" applyNumberFormat="1" applyFont="1" applyFill="1" applyBorder="1" applyAlignment="1">
      <alignment horizontal="center" vertical="center"/>
    </xf>
    <xf numFmtId="168" fontId="10" fillId="2" borderId="22" xfId="0" applyNumberFormat="1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</cellXfs>
  <cellStyles count="8">
    <cellStyle name="Moeda" xfId="1" builtinId="4"/>
    <cellStyle name="Normal" xfId="0" builtinId="0"/>
    <cellStyle name="Normal 2" xfId="4"/>
    <cellStyle name="Normal_Caragua1" xfId="2"/>
    <cellStyle name="Vírgula" xfId="3" builtinId="3"/>
    <cellStyle name="Vírgula 2" xfId="5"/>
    <cellStyle name="Vírgula 2 2" xfId="6"/>
    <cellStyle name="Vírgula 3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55245</xdr:colOff>
      <xdr:row>0</xdr:row>
      <xdr:rowOff>76200</xdr:rowOff>
    </xdr:from>
    <xdr:to>
      <xdr:col>1</xdr:col>
      <xdr:colOff>1221105</xdr:colOff>
      <xdr:row>4</xdr:row>
      <xdr:rowOff>121920</xdr:rowOff>
    </xdr:to>
    <xdr:pic>
      <xdr:nvPicPr>
        <xdr:cNvPr id="1833" name="Picture 1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3905" y="76200"/>
          <a:ext cx="1165860" cy="11277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5065283</xdr:colOff>
      <xdr:row>109</xdr:row>
      <xdr:rowOff>45720</xdr:rowOff>
    </xdr:from>
    <xdr:to>
      <xdr:col>7</xdr:col>
      <xdr:colOff>22635</xdr:colOff>
      <xdr:row>111</xdr:row>
      <xdr:rowOff>371476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7008383" y="27363420"/>
          <a:ext cx="5072902" cy="120205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r>
            <a:rPr lang="pt-BR" sz="1200"/>
            <a:t>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Responsável Técnico </a:t>
          </a:r>
          <a:br>
            <a:rPr lang="pt-BR" sz="1200"/>
          </a:b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CREA: 5062487303</a:t>
          </a: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479163</xdr:colOff>
      <xdr:row>109</xdr:row>
      <xdr:rowOff>68580</xdr:rowOff>
    </xdr:from>
    <xdr:to>
      <xdr:col>2</xdr:col>
      <xdr:colOff>3538369</xdr:colOff>
      <xdr:row>111</xdr:row>
      <xdr:rowOff>333375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2422263" y="27386280"/>
          <a:ext cx="3059206" cy="11410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endParaRPr lang="pt-BR" sz="1200"/>
        </a:p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321049</xdr:colOff>
      <xdr:row>0</xdr:row>
      <xdr:rowOff>0</xdr:rowOff>
    </xdr:from>
    <xdr:to>
      <xdr:col>1</xdr:col>
      <xdr:colOff>778249</xdr:colOff>
      <xdr:row>4</xdr:row>
      <xdr:rowOff>64995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4A35539A-0844-4A70-A8FB-B02DB60C5B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1049" y="0"/>
          <a:ext cx="1066800" cy="9973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1308847</xdr:colOff>
      <xdr:row>510</xdr:row>
      <xdr:rowOff>62753</xdr:rowOff>
    </xdr:from>
    <xdr:to>
      <xdr:col>6</xdr:col>
      <xdr:colOff>1548652</xdr:colOff>
      <xdr:row>517</xdr:row>
      <xdr:rowOff>134023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4F6BC707-EB64-4546-9EAA-0C5E4ED13C4D}"/>
            </a:ext>
          </a:extLst>
        </xdr:cNvPr>
        <xdr:cNvSpPr txBox="1"/>
      </xdr:nvSpPr>
      <xdr:spPr>
        <a:xfrm>
          <a:off x="7153835" y="69673694"/>
          <a:ext cx="5206252" cy="12635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endParaRPr lang="pt-BR" sz="1200"/>
        </a:p>
        <a:p>
          <a:pPr algn="ctr"/>
          <a:r>
            <a:rPr lang="pt-BR" sz="1200"/>
            <a:t>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</a:t>
          </a:r>
          <a:endParaRPr lang="pt-BR" sz="1200"/>
        </a:p>
      </xdr:txBody>
    </xdr:sp>
    <xdr:clientData/>
  </xdr:twoCellAnchor>
  <xdr:twoCellAnchor>
    <xdr:from>
      <xdr:col>1</xdr:col>
      <xdr:colOff>421340</xdr:colOff>
      <xdr:row>510</xdr:row>
      <xdr:rowOff>53788</xdr:rowOff>
    </xdr:from>
    <xdr:to>
      <xdr:col>3</xdr:col>
      <xdr:colOff>681317</xdr:colOff>
      <xdr:row>518</xdr:row>
      <xdr:rowOff>35859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6111E503-6183-4999-8D9D-B1E28D4CA198}"/>
            </a:ext>
          </a:extLst>
        </xdr:cNvPr>
        <xdr:cNvSpPr txBox="1"/>
      </xdr:nvSpPr>
      <xdr:spPr>
        <a:xfrm>
          <a:off x="1030940" y="69664729"/>
          <a:ext cx="5495365" cy="13447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endParaRPr lang="pt-BR" sz="1200"/>
        </a:p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3"/>
  <sheetViews>
    <sheetView view="pageBreakPreview" zoomScale="80" zoomScaleNormal="80" zoomScaleSheetLayoutView="80" workbookViewId="0">
      <selection activeCell="H8" sqref="H8"/>
    </sheetView>
  </sheetViews>
  <sheetFormatPr defaultColWidth="8.85546875" defaultRowHeight="15" x14ac:dyDescent="0.2"/>
  <cols>
    <col min="1" max="1" width="10.28515625" style="2" customWidth="1"/>
    <col min="2" max="2" width="18.140625" style="68" customWidth="1"/>
    <col min="3" max="3" width="86" style="5" customWidth="1"/>
    <col min="4" max="4" width="12.5703125" style="68" customWidth="1"/>
    <col min="5" max="5" width="14.28515625" style="116" customWidth="1"/>
    <col min="6" max="6" width="16.140625" style="1" customWidth="1"/>
    <col min="7" max="7" width="0.140625" style="228" customWidth="1"/>
    <col min="8" max="8" width="24.7109375" style="3" customWidth="1"/>
    <col min="9" max="9" width="25.42578125" style="3" hidden="1" customWidth="1"/>
    <col min="10" max="10" width="10.5703125" style="3" bestFit="1" customWidth="1"/>
    <col min="11" max="16384" width="8.85546875" style="3"/>
  </cols>
  <sheetData>
    <row r="1" spans="1:10" s="6" customFormat="1" ht="33.6" customHeight="1" x14ac:dyDescent="0.3">
      <c r="A1" s="23"/>
      <c r="B1" s="71"/>
      <c r="C1" s="249" t="s">
        <v>5</v>
      </c>
      <c r="D1" s="249"/>
      <c r="E1" s="249"/>
      <c r="F1" s="249"/>
      <c r="G1" s="249"/>
      <c r="H1" s="28"/>
    </row>
    <row r="2" spans="1:10" ht="20.25" x14ac:dyDescent="0.3">
      <c r="A2" s="24"/>
      <c r="C2" s="250" t="s">
        <v>19</v>
      </c>
      <c r="D2" s="250"/>
      <c r="E2" s="250"/>
      <c r="F2" s="250"/>
      <c r="G2" s="250"/>
      <c r="H2" s="29"/>
    </row>
    <row r="3" spans="1:10" s="7" customFormat="1" ht="12.75" x14ac:dyDescent="0.2">
      <c r="A3" s="20"/>
      <c r="B3" s="68"/>
      <c r="C3" s="251"/>
      <c r="D3" s="251"/>
      <c r="E3" s="251"/>
      <c r="F3" s="251"/>
      <c r="G3" s="251"/>
      <c r="H3" s="30"/>
    </row>
    <row r="4" spans="1:10" s="7" customFormat="1" ht="18" x14ac:dyDescent="0.25">
      <c r="A4" s="25"/>
      <c r="B4" s="68"/>
      <c r="C4" s="252" t="s">
        <v>2</v>
      </c>
      <c r="D4" s="252"/>
      <c r="E4" s="252"/>
      <c r="F4" s="252"/>
      <c r="G4" s="252"/>
      <c r="H4" s="30"/>
    </row>
    <row r="5" spans="1:10" s="7" customFormat="1" ht="13.5" thickBot="1" x14ac:dyDescent="0.25">
      <c r="A5" s="26"/>
      <c r="B5" s="69"/>
      <c r="C5" s="253"/>
      <c r="D5" s="253"/>
      <c r="E5" s="253"/>
      <c r="F5" s="253"/>
      <c r="G5" s="253"/>
      <c r="H5" s="27"/>
    </row>
    <row r="6" spans="1:10" ht="16.5" thickBot="1" x14ac:dyDescent="0.3">
      <c r="A6" s="17"/>
      <c r="B6" s="50"/>
      <c r="C6" s="17"/>
      <c r="D6" s="50"/>
      <c r="E6" s="18"/>
      <c r="F6" s="18"/>
      <c r="G6" s="79"/>
    </row>
    <row r="7" spans="1:10" ht="15.75" x14ac:dyDescent="0.25">
      <c r="A7" s="264" t="s">
        <v>13</v>
      </c>
      <c r="B7" s="265"/>
      <c r="C7" s="258" t="s">
        <v>35</v>
      </c>
      <c r="D7" s="254"/>
      <c r="E7" s="254"/>
      <c r="F7" s="232" t="s">
        <v>11</v>
      </c>
      <c r="G7" s="232" t="s">
        <v>11</v>
      </c>
      <c r="H7" s="72">
        <v>43847</v>
      </c>
    </row>
    <row r="8" spans="1:10" ht="17.45" customHeight="1" x14ac:dyDescent="0.25">
      <c r="A8" s="247"/>
      <c r="B8" s="248"/>
      <c r="C8" s="259"/>
      <c r="D8" s="255"/>
      <c r="E8" s="255"/>
      <c r="F8" s="233" t="s">
        <v>10</v>
      </c>
      <c r="G8" s="233" t="s">
        <v>10</v>
      </c>
      <c r="H8" s="73">
        <v>0.2</v>
      </c>
    </row>
    <row r="9" spans="1:10" ht="16.5" thickBot="1" x14ac:dyDescent="0.3">
      <c r="A9" s="260" t="s">
        <v>12</v>
      </c>
      <c r="B9" s="261"/>
      <c r="C9" s="230" t="s">
        <v>36</v>
      </c>
      <c r="D9" s="243"/>
      <c r="E9" s="243"/>
      <c r="F9" s="74" t="s">
        <v>15</v>
      </c>
      <c r="G9" s="74" t="s">
        <v>15</v>
      </c>
      <c r="H9" s="52">
        <v>43647</v>
      </c>
    </row>
    <row r="10" spans="1:10" ht="16.5" thickBot="1" x14ac:dyDescent="0.3">
      <c r="A10" s="75"/>
      <c r="B10" s="76"/>
      <c r="C10" s="77"/>
      <c r="D10" s="76"/>
      <c r="E10" s="106"/>
      <c r="F10" s="78"/>
      <c r="G10" s="79"/>
      <c r="H10" s="80"/>
    </row>
    <row r="11" spans="1:10" s="12" customFormat="1" ht="78.75" x14ac:dyDescent="0.25">
      <c r="A11" s="81" t="s">
        <v>0</v>
      </c>
      <c r="B11" s="82" t="s">
        <v>145</v>
      </c>
      <c r="C11" s="235" t="s">
        <v>6</v>
      </c>
      <c r="D11" s="232" t="s">
        <v>3</v>
      </c>
      <c r="E11" s="107" t="s">
        <v>8</v>
      </c>
      <c r="F11" s="83" t="s">
        <v>4</v>
      </c>
      <c r="G11" s="53" t="s">
        <v>20</v>
      </c>
      <c r="H11" s="84" t="s">
        <v>9</v>
      </c>
    </row>
    <row r="12" spans="1:10" x14ac:dyDescent="0.2">
      <c r="A12" s="85"/>
      <c r="B12" s="86"/>
      <c r="C12" s="87"/>
      <c r="D12" s="86"/>
      <c r="E12" s="108"/>
      <c r="F12" s="88"/>
      <c r="G12" s="89"/>
      <c r="H12" s="90"/>
      <c r="J12" s="43"/>
    </row>
    <row r="13" spans="1:10" s="13" customFormat="1" ht="15.75" x14ac:dyDescent="0.2">
      <c r="A13" s="54">
        <v>1</v>
      </c>
      <c r="B13" s="231"/>
      <c r="C13" s="42" t="s">
        <v>43</v>
      </c>
      <c r="D13" s="231"/>
      <c r="E13" s="109"/>
      <c r="F13" s="231"/>
      <c r="G13"/>
      <c r="H13" s="55">
        <f>SUM(H14:H19)</f>
        <v>8766.42</v>
      </c>
      <c r="I13" s="16"/>
    </row>
    <row r="14" spans="1:10" s="45" customFormat="1" x14ac:dyDescent="0.2">
      <c r="A14" s="56" t="s">
        <v>1</v>
      </c>
      <c r="B14" s="140" t="s">
        <v>37</v>
      </c>
      <c r="C14" s="92" t="s">
        <v>38</v>
      </c>
      <c r="D14" s="93" t="s">
        <v>18</v>
      </c>
      <c r="E14" s="110">
        <f>'Memoria de Cálculo'!E13</f>
        <v>6</v>
      </c>
      <c r="F14" s="49">
        <f>ROUND((G14*(1+$H$8)),2)</f>
        <v>424.14</v>
      </c>
      <c r="G14">
        <v>353.45</v>
      </c>
      <c r="H14" s="57">
        <f>ROUND((F14*E14),2)</f>
        <v>2544.84</v>
      </c>
      <c r="J14" s="46"/>
    </row>
    <row r="15" spans="1:10" s="45" customFormat="1" x14ac:dyDescent="0.2">
      <c r="A15" s="56" t="s">
        <v>39</v>
      </c>
      <c r="B15" s="140" t="s">
        <v>31</v>
      </c>
      <c r="C15" s="92" t="s">
        <v>53</v>
      </c>
      <c r="D15" s="93" t="s">
        <v>18</v>
      </c>
      <c r="E15" s="110">
        <f>'Memoria de Cálculo'!E16</f>
        <v>438.45</v>
      </c>
      <c r="F15" s="49">
        <f t="shared" ref="F15:F19" si="0">ROUND((G15*(1+$H$8)),2)</f>
        <v>8.27</v>
      </c>
      <c r="G15">
        <v>6.89</v>
      </c>
      <c r="H15" s="57">
        <f t="shared" ref="H15:H19" si="1">ROUND((F15*E15),2)</f>
        <v>3625.98</v>
      </c>
      <c r="J15" s="46"/>
    </row>
    <row r="16" spans="1:10" s="45" customFormat="1" x14ac:dyDescent="0.2">
      <c r="A16" s="56" t="s">
        <v>41</v>
      </c>
      <c r="B16" s="140" t="s">
        <v>31</v>
      </c>
      <c r="C16" s="92" t="s">
        <v>52</v>
      </c>
      <c r="D16" s="93" t="s">
        <v>18</v>
      </c>
      <c r="E16" s="110">
        <f>'Memoria de Cálculo'!E26</f>
        <v>105.3</v>
      </c>
      <c r="F16" s="49">
        <f t="shared" si="0"/>
        <v>8.27</v>
      </c>
      <c r="G16">
        <v>6.89</v>
      </c>
      <c r="H16" s="57">
        <f t="shared" si="1"/>
        <v>870.83</v>
      </c>
      <c r="J16" s="46"/>
    </row>
    <row r="17" spans="1:10" s="45" customFormat="1" x14ac:dyDescent="0.2">
      <c r="A17" s="56" t="s">
        <v>47</v>
      </c>
      <c r="B17" s="140" t="s">
        <v>44</v>
      </c>
      <c r="C17" s="92" t="s">
        <v>79</v>
      </c>
      <c r="D17" s="93" t="s">
        <v>18</v>
      </c>
      <c r="E17" s="110">
        <f>'Memoria de Cálculo'!E35</f>
        <v>220.16</v>
      </c>
      <c r="F17" s="49">
        <f t="shared" si="0"/>
        <v>4.38</v>
      </c>
      <c r="G17">
        <v>3.65</v>
      </c>
      <c r="H17" s="57">
        <f t="shared" si="1"/>
        <v>964.3</v>
      </c>
      <c r="J17" s="46"/>
    </row>
    <row r="18" spans="1:10" s="45" customFormat="1" x14ac:dyDescent="0.2">
      <c r="A18" s="56" t="s">
        <v>88</v>
      </c>
      <c r="B18" s="140" t="s">
        <v>45</v>
      </c>
      <c r="C18" s="92" t="s">
        <v>49</v>
      </c>
      <c r="D18" s="93" t="s">
        <v>18</v>
      </c>
      <c r="E18" s="110">
        <f>'Memoria de Cálculo'!E44</f>
        <v>29.25</v>
      </c>
      <c r="F18" s="49">
        <f t="shared" si="0"/>
        <v>22.63</v>
      </c>
      <c r="G18">
        <v>18.86</v>
      </c>
      <c r="H18" s="57">
        <f t="shared" si="1"/>
        <v>661.93</v>
      </c>
      <c r="J18" s="46"/>
    </row>
    <row r="19" spans="1:10" s="45" customFormat="1" x14ac:dyDescent="0.2">
      <c r="A19" s="56" t="s">
        <v>89</v>
      </c>
      <c r="B19" s="140" t="s">
        <v>59</v>
      </c>
      <c r="C19" s="92" t="s">
        <v>60</v>
      </c>
      <c r="D19" s="93" t="s">
        <v>61</v>
      </c>
      <c r="E19" s="110">
        <f>'Memoria de Cálculo'!E51</f>
        <v>5.2</v>
      </c>
      <c r="F19" s="49">
        <f t="shared" si="0"/>
        <v>18.95</v>
      </c>
      <c r="G19">
        <v>15.79</v>
      </c>
      <c r="H19" s="57">
        <f t="shared" si="1"/>
        <v>98.54</v>
      </c>
      <c r="J19" s="46"/>
    </row>
    <row r="20" spans="1:10" s="45" customFormat="1" x14ac:dyDescent="0.2">
      <c r="A20" s="61"/>
      <c r="B20" s="94"/>
      <c r="C20" s="95"/>
      <c r="D20" s="93"/>
      <c r="E20" s="110"/>
      <c r="F20" s="49"/>
      <c r="G20">
        <v>0</v>
      </c>
      <c r="H20" s="57"/>
      <c r="J20" s="46"/>
    </row>
    <row r="21" spans="1:10" s="45" customFormat="1" ht="15.75" x14ac:dyDescent="0.2">
      <c r="A21" s="54">
        <v>2</v>
      </c>
      <c r="B21" s="231"/>
      <c r="C21" s="42" t="s">
        <v>40</v>
      </c>
      <c r="D21" s="231"/>
      <c r="E21" s="109"/>
      <c r="F21" s="231"/>
      <c r="G21">
        <v>0</v>
      </c>
      <c r="H21" s="55">
        <f>H22</f>
        <v>4244.7700000000004</v>
      </c>
      <c r="J21" s="46"/>
    </row>
    <row r="22" spans="1:10" s="194" customFormat="1" x14ac:dyDescent="0.2">
      <c r="A22" s="191" t="s">
        <v>90</v>
      </c>
      <c r="B22" s="140" t="s">
        <v>21</v>
      </c>
      <c r="C22" s="192" t="s">
        <v>40</v>
      </c>
      <c r="D22" s="141" t="s">
        <v>18</v>
      </c>
      <c r="E22" s="193">
        <v>4.9000000000000004</v>
      </c>
      <c r="F22" s="49">
        <f>ROUND((G22*(1+$H$8)),2)</f>
        <v>866.28</v>
      </c>
      <c r="G22">
        <v>721.9</v>
      </c>
      <c r="H22" s="57">
        <f>ROUND((F22*E22),2)</f>
        <v>4244.7700000000004</v>
      </c>
      <c r="J22" s="195"/>
    </row>
    <row r="23" spans="1:10" s="45" customFormat="1" x14ac:dyDescent="0.2">
      <c r="A23" s="61"/>
      <c r="B23" s="94"/>
      <c r="C23" s="95"/>
      <c r="D23" s="93"/>
      <c r="E23" s="110"/>
      <c r="F23" s="49"/>
      <c r="G23">
        <v>0</v>
      </c>
      <c r="H23" s="57"/>
      <c r="J23" s="46"/>
    </row>
    <row r="24" spans="1:10" s="45" customFormat="1" ht="15.75" x14ac:dyDescent="0.2">
      <c r="A24" s="54">
        <v>3</v>
      </c>
      <c r="B24" s="231"/>
      <c r="C24" s="42" t="s">
        <v>42</v>
      </c>
      <c r="D24" s="231"/>
      <c r="E24" s="109"/>
      <c r="F24" s="231"/>
      <c r="G24">
        <v>0</v>
      </c>
      <c r="H24" s="55">
        <f>SUM(H25:H28)</f>
        <v>15068.8</v>
      </c>
      <c r="J24" s="46"/>
    </row>
    <row r="25" spans="1:10" s="45" customFormat="1" x14ac:dyDescent="0.2">
      <c r="A25" s="56" t="s">
        <v>101</v>
      </c>
      <c r="B25" s="140" t="s">
        <v>54</v>
      </c>
      <c r="C25" s="92" t="s">
        <v>55</v>
      </c>
      <c r="D25" s="93" t="s">
        <v>18</v>
      </c>
      <c r="E25" s="110">
        <f>'Memoria de Cálculo'!E65</f>
        <v>325.45999999999998</v>
      </c>
      <c r="F25" s="49">
        <f>ROUND((G25*(1+$H$8)),2)</f>
        <v>4.92</v>
      </c>
      <c r="G25">
        <v>4.0999999999999996</v>
      </c>
      <c r="H25" s="57">
        <f t="shared" ref="H25:H38" si="2">ROUND((F25*E25),2)</f>
        <v>1601.26</v>
      </c>
      <c r="J25" s="46"/>
    </row>
    <row r="26" spans="1:10" s="45" customFormat="1" x14ac:dyDescent="0.2">
      <c r="A26" s="56" t="s">
        <v>102</v>
      </c>
      <c r="B26" s="240" t="s">
        <v>162</v>
      </c>
      <c r="C26" s="239" t="s">
        <v>163</v>
      </c>
      <c r="D26" s="93" t="s">
        <v>18</v>
      </c>
      <c r="E26" s="110">
        <f>'Memoria de Cálculo'!E71</f>
        <v>325.45999999999998</v>
      </c>
      <c r="F26" s="49">
        <f>ROUND((G26*(1+$H$8)),2)</f>
        <v>14.62</v>
      </c>
      <c r="G26">
        <v>12.18</v>
      </c>
      <c r="H26" s="57">
        <f t="shared" si="2"/>
        <v>4758.2299999999996</v>
      </c>
      <c r="J26" s="46"/>
    </row>
    <row r="27" spans="1:10" s="45" customFormat="1" x14ac:dyDescent="0.2">
      <c r="A27" s="56" t="s">
        <v>103</v>
      </c>
      <c r="B27" s="140" t="s">
        <v>57</v>
      </c>
      <c r="C27" s="92" t="s">
        <v>58</v>
      </c>
      <c r="D27" s="93" t="s">
        <v>18</v>
      </c>
      <c r="E27" s="110">
        <f>'Memoria de Cálculo'!E77</f>
        <v>325.45999999999998</v>
      </c>
      <c r="F27" s="49">
        <f>ROUND((G27*(1+$H$8)),2)</f>
        <v>26.76</v>
      </c>
      <c r="G27">
        <v>22.3</v>
      </c>
      <c r="H27" s="57">
        <f t="shared" si="2"/>
        <v>8709.31</v>
      </c>
      <c r="J27" s="46"/>
    </row>
    <row r="28" spans="1:10" s="45" customFormat="1" x14ac:dyDescent="0.2">
      <c r="A28" s="61"/>
      <c r="B28" s="94"/>
      <c r="C28" s="95"/>
      <c r="D28" s="93"/>
      <c r="E28" s="110"/>
      <c r="F28" s="49"/>
      <c r="G28">
        <v>0</v>
      </c>
      <c r="H28" s="57"/>
      <c r="J28" s="46"/>
    </row>
    <row r="29" spans="1:10" s="45" customFormat="1" ht="15.75" x14ac:dyDescent="0.2">
      <c r="A29" s="54">
        <v>4</v>
      </c>
      <c r="B29" s="236"/>
      <c r="C29" s="48" t="s">
        <v>46</v>
      </c>
      <c r="D29" s="246"/>
      <c r="E29" s="246"/>
      <c r="F29" s="246"/>
      <c r="G29">
        <v>0</v>
      </c>
      <c r="H29" s="55">
        <f>SUM(H30:H38)</f>
        <v>56456.21</v>
      </c>
      <c r="J29" s="46"/>
    </row>
    <row r="30" spans="1:10" s="45" customFormat="1" x14ac:dyDescent="0.2">
      <c r="A30" s="59" t="s">
        <v>104</v>
      </c>
      <c r="B30" s="140" t="s">
        <v>48</v>
      </c>
      <c r="C30" s="92" t="s">
        <v>74</v>
      </c>
      <c r="D30" s="93" t="s">
        <v>18</v>
      </c>
      <c r="E30" s="111">
        <f>'Memoria de Cálculo'!E83</f>
        <v>29.25</v>
      </c>
      <c r="F30" s="49">
        <f t="shared" ref="F30:F38" si="3">ROUND((G30*(1+$H$8)),2)</f>
        <v>565.19000000000005</v>
      </c>
      <c r="G30">
        <v>470.99</v>
      </c>
      <c r="H30" s="57">
        <f t="shared" si="2"/>
        <v>16531.810000000001</v>
      </c>
      <c r="J30" s="46"/>
    </row>
    <row r="31" spans="1:10" s="45" customFormat="1" x14ac:dyDescent="0.2">
      <c r="A31" s="59" t="s">
        <v>105</v>
      </c>
      <c r="B31" s="176" t="s">
        <v>179</v>
      </c>
      <c r="C31" s="173" t="s">
        <v>180</v>
      </c>
      <c r="D31" s="176" t="s">
        <v>18</v>
      </c>
      <c r="E31" s="111">
        <f>'Memoria de Cálculo'!E87</f>
        <v>16</v>
      </c>
      <c r="F31" s="49">
        <f t="shared" si="3"/>
        <v>566.75</v>
      </c>
      <c r="G31">
        <v>472.29</v>
      </c>
      <c r="H31" s="57">
        <f t="shared" si="2"/>
        <v>9068</v>
      </c>
      <c r="J31" s="46"/>
    </row>
    <row r="32" spans="1:10" s="45" customFormat="1" x14ac:dyDescent="0.2">
      <c r="A32" s="59" t="s">
        <v>106</v>
      </c>
      <c r="B32" s="140" t="s">
        <v>50</v>
      </c>
      <c r="C32" s="92" t="s">
        <v>51</v>
      </c>
      <c r="D32" s="93" t="s">
        <v>18</v>
      </c>
      <c r="E32" s="111">
        <f>'Memoria de Cálculo'!E94</f>
        <v>45.25</v>
      </c>
      <c r="F32" s="49">
        <f t="shared" si="3"/>
        <v>139.43</v>
      </c>
      <c r="G32">
        <v>116.19</v>
      </c>
      <c r="H32" s="57">
        <f t="shared" si="2"/>
        <v>6309.21</v>
      </c>
      <c r="J32" s="46"/>
    </row>
    <row r="33" spans="1:10" s="45" customFormat="1" x14ac:dyDescent="0.2">
      <c r="A33" s="59" t="s">
        <v>107</v>
      </c>
      <c r="B33" s="176" t="s">
        <v>170</v>
      </c>
      <c r="C33" s="173" t="s">
        <v>171</v>
      </c>
      <c r="D33" s="176" t="s">
        <v>34</v>
      </c>
      <c r="E33" s="111">
        <f>'Memoria de Cálculo'!E98</f>
        <v>35.5</v>
      </c>
      <c r="F33" s="49">
        <f t="shared" si="3"/>
        <v>160.13</v>
      </c>
      <c r="G33">
        <v>133.44</v>
      </c>
      <c r="H33" s="57">
        <f t="shared" si="2"/>
        <v>5684.62</v>
      </c>
      <c r="J33" s="46"/>
    </row>
    <row r="34" spans="1:10" s="45" customFormat="1" x14ac:dyDescent="0.2">
      <c r="A34" s="59" t="s">
        <v>108</v>
      </c>
      <c r="B34" s="176" t="s">
        <v>181</v>
      </c>
      <c r="C34" s="173" t="s">
        <v>182</v>
      </c>
      <c r="D34" s="176" t="s">
        <v>18</v>
      </c>
      <c r="E34" s="111">
        <f>'Memoria de Cálculo'!E110</f>
        <v>7.7200000000000006</v>
      </c>
      <c r="F34" s="49">
        <f t="shared" si="3"/>
        <v>814.88</v>
      </c>
      <c r="G34">
        <v>679.07</v>
      </c>
      <c r="H34" s="57">
        <f t="shared" si="2"/>
        <v>6290.87</v>
      </c>
      <c r="J34" s="46"/>
    </row>
    <row r="35" spans="1:10" s="45" customFormat="1" ht="30" x14ac:dyDescent="0.2">
      <c r="A35" s="59" t="s">
        <v>109</v>
      </c>
      <c r="B35" s="142" t="s">
        <v>25</v>
      </c>
      <c r="C35" s="96" t="s">
        <v>26</v>
      </c>
      <c r="D35" s="97" t="s">
        <v>24</v>
      </c>
      <c r="E35" s="198">
        <f>'Memoria de Cálculo'!E115</f>
        <v>1</v>
      </c>
      <c r="F35" s="49">
        <f t="shared" si="3"/>
        <v>455.45</v>
      </c>
      <c r="G35">
        <v>379.54</v>
      </c>
      <c r="H35" s="57">
        <f t="shared" si="2"/>
        <v>455.45</v>
      </c>
      <c r="J35" s="46"/>
    </row>
    <row r="36" spans="1:10" s="45" customFormat="1" x14ac:dyDescent="0.2">
      <c r="A36" s="59" t="s">
        <v>110</v>
      </c>
      <c r="B36" s="140" t="s">
        <v>92</v>
      </c>
      <c r="C36" s="92" t="s">
        <v>91</v>
      </c>
      <c r="D36" s="93" t="s">
        <v>61</v>
      </c>
      <c r="E36" s="111">
        <f>'Memoria de Cálculo'!E119</f>
        <v>1</v>
      </c>
      <c r="F36" s="49">
        <f t="shared" si="3"/>
        <v>459.72</v>
      </c>
      <c r="G36">
        <v>383.1</v>
      </c>
      <c r="H36" s="57">
        <f t="shared" si="2"/>
        <v>459.72</v>
      </c>
      <c r="J36" s="46"/>
    </row>
    <row r="37" spans="1:10" s="45" customFormat="1" x14ac:dyDescent="0.2">
      <c r="A37" s="59" t="s">
        <v>286</v>
      </c>
      <c r="B37" s="176" t="s">
        <v>183</v>
      </c>
      <c r="C37" s="173" t="s">
        <v>184</v>
      </c>
      <c r="D37" s="176" t="s">
        <v>18</v>
      </c>
      <c r="E37" s="111">
        <f>'Memoria de Cálculo'!E123</f>
        <v>4.8</v>
      </c>
      <c r="F37" s="49">
        <f t="shared" si="3"/>
        <v>756.07</v>
      </c>
      <c r="G37">
        <v>630.05999999999995</v>
      </c>
      <c r="H37" s="57">
        <f t="shared" si="2"/>
        <v>3629.14</v>
      </c>
      <c r="J37" s="46"/>
    </row>
    <row r="38" spans="1:10" s="45" customFormat="1" ht="30" x14ac:dyDescent="0.2">
      <c r="A38" s="59" t="s">
        <v>287</v>
      </c>
      <c r="B38" s="140" t="s">
        <v>93</v>
      </c>
      <c r="C38" s="92" t="s">
        <v>94</v>
      </c>
      <c r="D38" s="93" t="s">
        <v>18</v>
      </c>
      <c r="E38" s="198">
        <f>'Memoria de Cálculo'!E131</f>
        <v>7.8199999999999994</v>
      </c>
      <c r="F38" s="49">
        <f t="shared" si="3"/>
        <v>1026.52</v>
      </c>
      <c r="G38">
        <v>855.43</v>
      </c>
      <c r="H38" s="57">
        <f t="shared" si="2"/>
        <v>8027.39</v>
      </c>
      <c r="J38" s="46"/>
    </row>
    <row r="39" spans="1:10" s="45" customFormat="1" x14ac:dyDescent="0.2">
      <c r="A39" s="64"/>
      <c r="B39" s="123"/>
      <c r="C39" s="95"/>
      <c r="D39" s="123"/>
      <c r="E39" s="124"/>
      <c r="F39" s="49"/>
      <c r="G39">
        <v>0</v>
      </c>
      <c r="H39" s="125"/>
      <c r="J39" s="46"/>
    </row>
    <row r="40" spans="1:10" s="45" customFormat="1" ht="15.75" x14ac:dyDescent="0.2">
      <c r="A40" s="54">
        <v>5</v>
      </c>
      <c r="B40" s="236"/>
      <c r="C40" s="48" t="s">
        <v>23</v>
      </c>
      <c r="D40" s="256"/>
      <c r="E40" s="256"/>
      <c r="F40" s="256"/>
      <c r="G40">
        <v>0</v>
      </c>
      <c r="H40" s="70">
        <f>SUM(H42:H48)</f>
        <v>58431.71</v>
      </c>
      <c r="J40" s="46"/>
    </row>
    <row r="41" spans="1:10" s="45" customFormat="1" x14ac:dyDescent="0.2">
      <c r="A41" s="65" t="s">
        <v>111</v>
      </c>
      <c r="B41" s="98"/>
      <c r="C41" s="99" t="s">
        <v>100</v>
      </c>
      <c r="D41" s="98"/>
      <c r="E41" s="98"/>
      <c r="F41" s="99"/>
      <c r="G41">
        <v>0</v>
      </c>
      <c r="H41" s="99"/>
      <c r="J41" s="46"/>
    </row>
    <row r="42" spans="1:10" s="45" customFormat="1" ht="45" x14ac:dyDescent="0.2">
      <c r="A42" s="65" t="s">
        <v>112</v>
      </c>
      <c r="B42" s="174" t="s">
        <v>164</v>
      </c>
      <c r="C42" s="173" t="s">
        <v>165</v>
      </c>
      <c r="D42" s="176" t="s">
        <v>18</v>
      </c>
      <c r="E42" s="199">
        <f>'Memoria de Cálculo'!E137</f>
        <v>438.45</v>
      </c>
      <c r="F42" s="49">
        <f t="shared" ref="F42:F48" si="4">ROUND((G42*(1+$H$8)),2)</f>
        <v>80.28</v>
      </c>
      <c r="G42">
        <v>66.900000000000006</v>
      </c>
      <c r="H42" s="57">
        <f>ROUND((F42*E42),2)</f>
        <v>35198.769999999997</v>
      </c>
      <c r="J42" s="46"/>
    </row>
    <row r="43" spans="1:10" s="45" customFormat="1" ht="45" x14ac:dyDescent="0.2">
      <c r="A43" s="65" t="s">
        <v>113</v>
      </c>
      <c r="B43" s="174" t="s">
        <v>166</v>
      </c>
      <c r="C43" s="173" t="s">
        <v>167</v>
      </c>
      <c r="D43" s="176" t="s">
        <v>34</v>
      </c>
      <c r="E43" s="199">
        <f>'Memoria de Cálculo'!E149</f>
        <v>165.12</v>
      </c>
      <c r="F43" s="49">
        <f t="shared" si="4"/>
        <v>17.100000000000001</v>
      </c>
      <c r="G43">
        <v>14.25</v>
      </c>
      <c r="H43" s="57">
        <f t="shared" ref="H43:H48" si="5">ROUND((F43*E43),2)</f>
        <v>2823.55</v>
      </c>
      <c r="J43" s="46"/>
    </row>
    <row r="44" spans="1:10" s="45" customFormat="1" ht="30" x14ac:dyDescent="0.2">
      <c r="A44" s="65" t="s">
        <v>114</v>
      </c>
      <c r="B44" s="142" t="s">
        <v>62</v>
      </c>
      <c r="C44" s="126" t="s">
        <v>63</v>
      </c>
      <c r="D44" s="97" t="s">
        <v>18</v>
      </c>
      <c r="E44" s="199">
        <f>'Memoria de Cálculo'!E159</f>
        <v>123.01</v>
      </c>
      <c r="F44" s="49">
        <f t="shared" si="4"/>
        <v>63.64</v>
      </c>
      <c r="G44">
        <v>53.03</v>
      </c>
      <c r="H44" s="57">
        <f t="shared" si="5"/>
        <v>7828.36</v>
      </c>
      <c r="J44" s="46"/>
    </row>
    <row r="45" spans="1:10" s="45" customFormat="1" x14ac:dyDescent="0.2">
      <c r="A45" s="65" t="s">
        <v>115</v>
      </c>
      <c r="B45" s="141" t="s">
        <v>30</v>
      </c>
      <c r="C45" s="92" t="s">
        <v>95</v>
      </c>
      <c r="D45" s="93" t="s">
        <v>56</v>
      </c>
      <c r="E45" s="178">
        <f>'Memoria de Cálculo'!E169</f>
        <v>14.49</v>
      </c>
      <c r="F45" s="49">
        <f t="shared" si="4"/>
        <v>570.08000000000004</v>
      </c>
      <c r="G45">
        <v>475.07</v>
      </c>
      <c r="H45" s="57">
        <f t="shared" si="5"/>
        <v>8260.4599999999991</v>
      </c>
      <c r="J45" s="46"/>
    </row>
    <row r="46" spans="1:10" s="45" customFormat="1" x14ac:dyDescent="0.2">
      <c r="A46" s="65" t="s">
        <v>116</v>
      </c>
      <c r="B46" s="141" t="s">
        <v>97</v>
      </c>
      <c r="C46" s="92" t="s">
        <v>96</v>
      </c>
      <c r="D46" s="93" t="s">
        <v>18</v>
      </c>
      <c r="E46" s="178">
        <f>'Memoria de Cálculo'!E175</f>
        <v>0</v>
      </c>
      <c r="F46" s="49">
        <f t="shared" si="4"/>
        <v>22.68</v>
      </c>
      <c r="G46">
        <v>18.899999999999999</v>
      </c>
      <c r="H46" s="57">
        <f t="shared" si="5"/>
        <v>0</v>
      </c>
      <c r="J46" s="46"/>
    </row>
    <row r="47" spans="1:10" s="45" customFormat="1" ht="30" x14ac:dyDescent="0.2">
      <c r="A47" s="65" t="s">
        <v>117</v>
      </c>
      <c r="B47" s="141" t="s">
        <v>99</v>
      </c>
      <c r="C47" s="92" t="s">
        <v>98</v>
      </c>
      <c r="D47" s="93" t="s">
        <v>18</v>
      </c>
      <c r="E47" s="178">
        <f>'Memoria de Cálculo'!E180</f>
        <v>20.71</v>
      </c>
      <c r="F47" s="49">
        <f t="shared" si="4"/>
        <v>57.52</v>
      </c>
      <c r="G47">
        <v>47.93</v>
      </c>
      <c r="H47" s="57">
        <f t="shared" si="5"/>
        <v>1191.24</v>
      </c>
      <c r="J47" s="46"/>
    </row>
    <row r="48" spans="1:10" s="45" customFormat="1" x14ac:dyDescent="0.2">
      <c r="A48" s="65" t="s">
        <v>118</v>
      </c>
      <c r="B48" s="176" t="s">
        <v>176</v>
      </c>
      <c r="C48" s="173" t="s">
        <v>177</v>
      </c>
      <c r="D48" s="132" t="s">
        <v>18</v>
      </c>
      <c r="E48" s="178">
        <f>'Memoria de Cálculo'!D189</f>
        <v>52.26</v>
      </c>
      <c r="F48" s="49">
        <f t="shared" si="4"/>
        <v>59.88</v>
      </c>
      <c r="G48">
        <v>49.9</v>
      </c>
      <c r="H48" s="57">
        <f t="shared" si="5"/>
        <v>3129.33</v>
      </c>
      <c r="J48" s="46"/>
    </row>
    <row r="49" spans="1:10" s="45" customFormat="1" x14ac:dyDescent="0.2">
      <c r="A49" s="61"/>
      <c r="B49" s="94"/>
      <c r="C49" s="95"/>
      <c r="D49" s="93"/>
      <c r="E49" s="110"/>
      <c r="F49" s="49"/>
      <c r="G49">
        <v>0</v>
      </c>
      <c r="H49" s="57"/>
      <c r="J49" s="46"/>
    </row>
    <row r="50" spans="1:10" s="45" customFormat="1" ht="15.75" x14ac:dyDescent="0.2">
      <c r="A50" s="54">
        <v>6</v>
      </c>
      <c r="B50" s="231"/>
      <c r="C50" s="42" t="s">
        <v>16</v>
      </c>
      <c r="D50" s="246"/>
      <c r="E50" s="246"/>
      <c r="F50" s="246"/>
      <c r="G50">
        <v>0</v>
      </c>
      <c r="H50" s="55">
        <f>SUM(H52:H63)</f>
        <v>72091.13</v>
      </c>
      <c r="J50" s="46"/>
    </row>
    <row r="51" spans="1:10" s="45" customFormat="1" ht="15.75" x14ac:dyDescent="0.25">
      <c r="A51" s="61" t="s">
        <v>119</v>
      </c>
      <c r="B51" s="100"/>
      <c r="C51" s="101" t="s">
        <v>67</v>
      </c>
      <c r="D51" s="102"/>
      <c r="E51" s="102"/>
      <c r="F51" s="103"/>
      <c r="G51">
        <v>0</v>
      </c>
      <c r="H51" s="103"/>
      <c r="J51" s="46"/>
    </row>
    <row r="52" spans="1:10" s="45" customFormat="1" x14ac:dyDescent="0.2">
      <c r="A52" s="61" t="s">
        <v>120</v>
      </c>
      <c r="B52" s="140" t="s">
        <v>65</v>
      </c>
      <c r="C52" s="92" t="s">
        <v>66</v>
      </c>
      <c r="D52" s="93" t="s">
        <v>18</v>
      </c>
      <c r="E52" s="110">
        <f>'Memoria de Cálculo'!E194</f>
        <v>625.9</v>
      </c>
      <c r="F52" s="49">
        <f t="shared" ref="F52:F63" si="6">ROUND((G52*(1+$H$8)),2)</f>
        <v>3.97</v>
      </c>
      <c r="G52">
        <v>3.31</v>
      </c>
      <c r="H52" s="57">
        <f t="shared" ref="H52:H63" si="7">ROUND((F52*E52),2)</f>
        <v>2484.8200000000002</v>
      </c>
      <c r="J52" s="46"/>
    </row>
    <row r="53" spans="1:10" s="45" customFormat="1" x14ac:dyDescent="0.2">
      <c r="A53" s="61" t="s">
        <v>123</v>
      </c>
      <c r="B53" s="140" t="s">
        <v>72</v>
      </c>
      <c r="C53" s="92" t="s">
        <v>73</v>
      </c>
      <c r="D53" s="93" t="s">
        <v>18</v>
      </c>
      <c r="E53" s="110">
        <f>'Memoria de Cálculo'!E205</f>
        <v>625.9</v>
      </c>
      <c r="F53" s="49">
        <f t="shared" si="6"/>
        <v>11.3</v>
      </c>
      <c r="G53">
        <v>9.42</v>
      </c>
      <c r="H53" s="57">
        <f t="shared" si="7"/>
        <v>7072.67</v>
      </c>
      <c r="J53" s="46"/>
    </row>
    <row r="54" spans="1:10" s="45" customFormat="1" x14ac:dyDescent="0.2">
      <c r="A54" s="61" t="s">
        <v>124</v>
      </c>
      <c r="B54" s="140" t="s">
        <v>75</v>
      </c>
      <c r="C54" s="92" t="s">
        <v>76</v>
      </c>
      <c r="D54" s="93" t="s">
        <v>18</v>
      </c>
      <c r="E54" s="111">
        <f>'Memoria de Cálculo'!E216</f>
        <v>1241.0999999999999</v>
      </c>
      <c r="F54" s="49">
        <f t="shared" si="6"/>
        <v>20.100000000000001</v>
      </c>
      <c r="G54">
        <v>16.75</v>
      </c>
      <c r="H54" s="57">
        <f t="shared" si="7"/>
        <v>24946.11</v>
      </c>
      <c r="J54" s="46"/>
    </row>
    <row r="55" spans="1:10" s="45" customFormat="1" ht="15.75" x14ac:dyDescent="0.25">
      <c r="A55" s="61" t="s">
        <v>121</v>
      </c>
      <c r="B55" s="142"/>
      <c r="C55" s="101" t="s">
        <v>68</v>
      </c>
      <c r="D55" s="65"/>
      <c r="E55" s="111"/>
      <c r="F55" s="49">
        <f t="shared" si="6"/>
        <v>0</v>
      </c>
      <c r="G55">
        <v>0</v>
      </c>
      <c r="H55" s="57"/>
      <c r="J55" s="46"/>
    </row>
    <row r="56" spans="1:10" s="45" customFormat="1" x14ac:dyDescent="0.2">
      <c r="A56" s="61" t="s">
        <v>125</v>
      </c>
      <c r="B56" s="140" t="s">
        <v>69</v>
      </c>
      <c r="C56" s="92" t="s">
        <v>70</v>
      </c>
      <c r="D56" s="93" t="s">
        <v>18</v>
      </c>
      <c r="E56" s="111">
        <f>'Memoria de Cálculo'!E229</f>
        <v>1081.8469999999998</v>
      </c>
      <c r="F56" s="49">
        <f t="shared" si="6"/>
        <v>9.49</v>
      </c>
      <c r="G56">
        <v>7.91</v>
      </c>
      <c r="H56" s="57">
        <f t="shared" si="7"/>
        <v>10266.73</v>
      </c>
      <c r="J56" s="46"/>
    </row>
    <row r="57" spans="1:10" s="45" customFormat="1" x14ac:dyDescent="0.2">
      <c r="A57" s="61" t="s">
        <v>126</v>
      </c>
      <c r="B57" s="140" t="s">
        <v>65</v>
      </c>
      <c r="C57" s="92" t="s">
        <v>66</v>
      </c>
      <c r="D57" s="93" t="s">
        <v>18</v>
      </c>
      <c r="E57" s="111">
        <f>'Memoria de Cálculo'!E248</f>
        <v>756.39700000000016</v>
      </c>
      <c r="F57" s="49">
        <f t="shared" si="6"/>
        <v>3.97</v>
      </c>
      <c r="G57">
        <v>3.31</v>
      </c>
      <c r="H57" s="57">
        <f t="shared" si="7"/>
        <v>3002.9</v>
      </c>
      <c r="J57" s="46"/>
    </row>
    <row r="58" spans="1:10" s="45" customFormat="1" x14ac:dyDescent="0.2">
      <c r="A58" s="61" t="s">
        <v>127</v>
      </c>
      <c r="B58" s="140" t="s">
        <v>77</v>
      </c>
      <c r="C58" s="92" t="s">
        <v>78</v>
      </c>
      <c r="D58" s="93" t="s">
        <v>18</v>
      </c>
      <c r="E58" s="111">
        <f>'Memoria de Cálculo'!E262</f>
        <v>1081.8469999999998</v>
      </c>
      <c r="F58" s="49">
        <f t="shared" si="6"/>
        <v>18.899999999999999</v>
      </c>
      <c r="G58">
        <v>15.75</v>
      </c>
      <c r="H58" s="57">
        <f t="shared" si="7"/>
        <v>20446.91</v>
      </c>
      <c r="J58" s="46"/>
    </row>
    <row r="59" spans="1:10" s="45" customFormat="1" x14ac:dyDescent="0.2">
      <c r="A59" s="61" t="s">
        <v>254</v>
      </c>
      <c r="B59" s="144" t="s">
        <v>185</v>
      </c>
      <c r="C59" s="96" t="s">
        <v>258</v>
      </c>
      <c r="D59" s="97" t="s">
        <v>18</v>
      </c>
      <c r="E59" s="111">
        <f>'Memoria de Cálculo'!E280</f>
        <v>60</v>
      </c>
      <c r="F59" s="49">
        <f t="shared" si="6"/>
        <v>21.78</v>
      </c>
      <c r="G59">
        <v>18.149999999999999</v>
      </c>
      <c r="H59" s="57">
        <f t="shared" si="7"/>
        <v>1306.8</v>
      </c>
      <c r="J59" s="46"/>
    </row>
    <row r="60" spans="1:10" s="45" customFormat="1" ht="15.75" x14ac:dyDescent="0.25">
      <c r="A60" s="61" t="s">
        <v>122</v>
      </c>
      <c r="B60" s="142"/>
      <c r="C60" s="101" t="s">
        <v>71</v>
      </c>
      <c r="D60" s="97"/>
      <c r="E60" s="111"/>
      <c r="F60" s="49">
        <f t="shared" si="6"/>
        <v>0</v>
      </c>
      <c r="G60">
        <v>0</v>
      </c>
      <c r="H60" s="57"/>
      <c r="J60" s="46"/>
    </row>
    <row r="61" spans="1:10" s="45" customFormat="1" ht="30" x14ac:dyDescent="0.2">
      <c r="A61" s="61" t="s">
        <v>128</v>
      </c>
      <c r="B61" s="144" t="s">
        <v>186</v>
      </c>
      <c r="C61" s="96" t="s">
        <v>211</v>
      </c>
      <c r="D61" s="97" t="s">
        <v>18</v>
      </c>
      <c r="E61" s="111">
        <f>'Memoria de Cálculo'!E290</f>
        <v>47.919999999999995</v>
      </c>
      <c r="F61" s="49">
        <f t="shared" si="6"/>
        <v>29.33</v>
      </c>
      <c r="G61">
        <v>24.44</v>
      </c>
      <c r="H61" s="57">
        <f t="shared" si="7"/>
        <v>1405.49</v>
      </c>
      <c r="J61" s="46"/>
    </row>
    <row r="62" spans="1:10" s="45" customFormat="1" x14ac:dyDescent="0.2">
      <c r="A62" s="61" t="s">
        <v>129</v>
      </c>
      <c r="B62" s="142" t="s">
        <v>22</v>
      </c>
      <c r="C62" s="96" t="s">
        <v>27</v>
      </c>
      <c r="D62" s="97" t="s">
        <v>18</v>
      </c>
      <c r="E62" s="111">
        <f>'Memoria de Cálculo'!E301</f>
        <v>29.25</v>
      </c>
      <c r="F62" s="49">
        <f t="shared" si="6"/>
        <v>19.62</v>
      </c>
      <c r="G62">
        <v>16.350000000000001</v>
      </c>
      <c r="H62" s="57">
        <f t="shared" si="7"/>
        <v>573.89</v>
      </c>
      <c r="J62" s="46"/>
    </row>
    <row r="63" spans="1:10" s="45" customFormat="1" x14ac:dyDescent="0.2">
      <c r="A63" s="61" t="s">
        <v>130</v>
      </c>
      <c r="B63" s="144" t="s">
        <v>187</v>
      </c>
      <c r="C63" s="96" t="s">
        <v>212</v>
      </c>
      <c r="D63" s="97" t="s">
        <v>18</v>
      </c>
      <c r="E63" s="111">
        <f>'Memoria de Cálculo'!E306</f>
        <v>16.8</v>
      </c>
      <c r="F63" s="49">
        <f t="shared" si="6"/>
        <v>34.81</v>
      </c>
      <c r="G63">
        <v>29.01</v>
      </c>
      <c r="H63" s="57">
        <f t="shared" si="7"/>
        <v>584.80999999999995</v>
      </c>
      <c r="J63" s="46"/>
    </row>
    <row r="64" spans="1:10" s="45" customFormat="1" x14ac:dyDescent="0.2">
      <c r="A64" s="61"/>
      <c r="B64" s="86"/>
      <c r="C64" s="96"/>
      <c r="D64" s="97"/>
      <c r="E64" s="111"/>
      <c r="F64" s="49"/>
      <c r="G64">
        <v>0</v>
      </c>
      <c r="H64" s="57"/>
      <c r="J64" s="46"/>
    </row>
    <row r="65" spans="1:10" s="45" customFormat="1" ht="15.75" x14ac:dyDescent="0.25">
      <c r="A65" s="54">
        <v>7</v>
      </c>
      <c r="B65" s="231"/>
      <c r="C65" s="62" t="s">
        <v>297</v>
      </c>
      <c r="D65" s="104"/>
      <c r="E65" s="112"/>
      <c r="F65" s="105"/>
      <c r="G65">
        <v>0</v>
      </c>
      <c r="H65" s="63">
        <f>SUM(H66:H71)</f>
        <v>13932.95</v>
      </c>
      <c r="J65" s="46"/>
    </row>
    <row r="66" spans="1:10" s="45" customFormat="1" x14ac:dyDescent="0.2">
      <c r="A66" s="61" t="s">
        <v>131</v>
      </c>
      <c r="B66" s="174" t="s">
        <v>152</v>
      </c>
      <c r="C66" s="173" t="s">
        <v>153</v>
      </c>
      <c r="D66" s="132" t="s">
        <v>56</v>
      </c>
      <c r="E66" s="121">
        <f>'Memoria de Cálculo'!E311</f>
        <v>2.7545000000000002</v>
      </c>
      <c r="F66" s="49">
        <f t="shared" ref="F66:F71" si="8">ROUND((G66*(1+$H$8)),2)</f>
        <v>379.48</v>
      </c>
      <c r="G66">
        <v>316.23</v>
      </c>
      <c r="H66" s="57">
        <f t="shared" ref="H66:H71" si="9">ROUND((F66*E66),2)</f>
        <v>1045.28</v>
      </c>
      <c r="J66" s="46"/>
    </row>
    <row r="67" spans="1:10" s="45" customFormat="1" x14ac:dyDescent="0.2">
      <c r="A67" s="61" t="s">
        <v>132</v>
      </c>
      <c r="B67" s="142" t="s">
        <v>33</v>
      </c>
      <c r="C67" s="96" t="s">
        <v>32</v>
      </c>
      <c r="D67" s="97" t="s">
        <v>14</v>
      </c>
      <c r="E67" s="120">
        <f>'Memoria de Cálculo'!E319</f>
        <v>5.5</v>
      </c>
      <c r="F67" s="49">
        <f t="shared" si="8"/>
        <v>334.68</v>
      </c>
      <c r="G67">
        <v>278.89999999999998</v>
      </c>
      <c r="H67" s="57">
        <f t="shared" si="9"/>
        <v>1840.74</v>
      </c>
      <c r="J67" s="46"/>
    </row>
    <row r="68" spans="1:10" s="45" customFormat="1" x14ac:dyDescent="0.2">
      <c r="A68" s="61" t="s">
        <v>301</v>
      </c>
      <c r="B68" s="174" t="s">
        <v>150</v>
      </c>
      <c r="C68" s="173" t="s">
        <v>151</v>
      </c>
      <c r="D68" s="132" t="s">
        <v>18</v>
      </c>
      <c r="E68" s="120">
        <f>'Memoria de Cálculo'!E324</f>
        <v>20.645</v>
      </c>
      <c r="F68" s="49">
        <f t="shared" si="8"/>
        <v>131.4</v>
      </c>
      <c r="G68">
        <v>109.5</v>
      </c>
      <c r="H68" s="57">
        <f t="shared" si="9"/>
        <v>2712.75</v>
      </c>
      <c r="J68" s="46"/>
    </row>
    <row r="69" spans="1:10" s="45" customFormat="1" x14ac:dyDescent="0.2">
      <c r="A69" s="61" t="s">
        <v>302</v>
      </c>
      <c r="B69" s="174" t="s">
        <v>148</v>
      </c>
      <c r="C69" s="173" t="s">
        <v>149</v>
      </c>
      <c r="D69" s="132" t="s">
        <v>56</v>
      </c>
      <c r="E69" s="120">
        <f>'Memoria de Cálculo'!E331</f>
        <v>7.2759999999999998</v>
      </c>
      <c r="F69" s="49">
        <f t="shared" si="8"/>
        <v>15.11</v>
      </c>
      <c r="G69">
        <v>12.59</v>
      </c>
      <c r="H69" s="57">
        <f t="shared" si="9"/>
        <v>109.94</v>
      </c>
      <c r="J69" s="46"/>
    </row>
    <row r="70" spans="1:10" s="45" customFormat="1" x14ac:dyDescent="0.2">
      <c r="A70" s="61" t="s">
        <v>303</v>
      </c>
      <c r="B70" s="174" t="s">
        <v>174</v>
      </c>
      <c r="C70" s="173" t="s">
        <v>175</v>
      </c>
      <c r="D70" s="132" t="s">
        <v>34</v>
      </c>
      <c r="E70" s="120">
        <f>'Memoria de Cálculo'!E335</f>
        <v>53.5</v>
      </c>
      <c r="F70" s="49">
        <f t="shared" si="8"/>
        <v>115.54</v>
      </c>
      <c r="G70">
        <v>96.28</v>
      </c>
      <c r="H70" s="57">
        <f t="shared" si="9"/>
        <v>6181.39</v>
      </c>
      <c r="J70" s="46"/>
    </row>
    <row r="71" spans="1:10" s="45" customFormat="1" x14ac:dyDescent="0.2">
      <c r="A71" s="61" t="s">
        <v>304</v>
      </c>
      <c r="B71" s="174" t="s">
        <v>172</v>
      </c>
      <c r="C71" s="173" t="s">
        <v>173</v>
      </c>
      <c r="D71" s="132" t="s">
        <v>18</v>
      </c>
      <c r="E71" s="120">
        <f>'Memoria de Cálculo'!E339</f>
        <v>11.55</v>
      </c>
      <c r="F71" s="49">
        <f t="shared" si="8"/>
        <v>176.87</v>
      </c>
      <c r="G71">
        <v>147.38999999999999</v>
      </c>
      <c r="H71" s="57">
        <f t="shared" si="9"/>
        <v>2042.85</v>
      </c>
      <c r="J71" s="46"/>
    </row>
    <row r="72" spans="1:10" s="45" customFormat="1" x14ac:dyDescent="0.2">
      <c r="A72" s="61"/>
      <c r="B72" s="201"/>
      <c r="C72" s="202"/>
      <c r="D72" s="97"/>
      <c r="E72" s="120"/>
      <c r="F72" s="49"/>
      <c r="G72">
        <v>0</v>
      </c>
      <c r="H72" s="57"/>
      <c r="J72" s="46"/>
    </row>
    <row r="73" spans="1:10" s="13" customFormat="1" ht="15.75" x14ac:dyDescent="0.2">
      <c r="A73" s="54">
        <v>8</v>
      </c>
      <c r="B73" s="236"/>
      <c r="C73" s="48" t="s">
        <v>294</v>
      </c>
      <c r="D73" s="246"/>
      <c r="E73" s="246"/>
      <c r="F73" s="246"/>
      <c r="G73">
        <v>0</v>
      </c>
      <c r="H73" s="55">
        <f>SUM(H74:H80)</f>
        <v>50960.26999999999</v>
      </c>
      <c r="I73" s="16"/>
    </row>
    <row r="74" spans="1:10" s="44" customFormat="1" x14ac:dyDescent="0.2">
      <c r="A74" s="58" t="s">
        <v>133</v>
      </c>
      <c r="B74" s="176" t="s">
        <v>158</v>
      </c>
      <c r="C74" s="96" t="s">
        <v>281</v>
      </c>
      <c r="D74" s="97" t="s">
        <v>34</v>
      </c>
      <c r="E74" s="111">
        <f>'Memoria de Cálculo'!E345</f>
        <v>45</v>
      </c>
      <c r="F74" s="49">
        <f t="shared" ref="F74:F80" si="10">ROUND((G74*(1+$H$8)),2)</f>
        <v>75.540000000000006</v>
      </c>
      <c r="G74">
        <v>62.95</v>
      </c>
      <c r="H74" s="57">
        <f t="shared" ref="H74:H80" si="11">ROUND((F74*E74),2)</f>
        <v>3399.3</v>
      </c>
      <c r="I74" s="41"/>
    </row>
    <row r="75" spans="1:10" s="44" customFormat="1" x14ac:dyDescent="0.2">
      <c r="A75" s="58" t="s">
        <v>134</v>
      </c>
      <c r="B75" s="143" t="s">
        <v>159</v>
      </c>
      <c r="C75" s="96" t="s">
        <v>213</v>
      </c>
      <c r="D75" s="97" t="s">
        <v>34</v>
      </c>
      <c r="E75" s="111">
        <f>'Memoria de Cálculo'!E349</f>
        <v>125.7</v>
      </c>
      <c r="F75" s="49">
        <f t="shared" si="10"/>
        <v>128.75</v>
      </c>
      <c r="G75">
        <v>107.29</v>
      </c>
      <c r="H75" s="57">
        <f t="shared" si="11"/>
        <v>16183.88</v>
      </c>
      <c r="I75" s="41"/>
    </row>
    <row r="76" spans="1:10" s="44" customFormat="1" ht="30" x14ac:dyDescent="0.2">
      <c r="A76" s="58" t="s">
        <v>135</v>
      </c>
      <c r="B76" s="176" t="s">
        <v>206</v>
      </c>
      <c r="C76" s="173" t="s">
        <v>291</v>
      </c>
      <c r="D76" s="174" t="s">
        <v>34</v>
      </c>
      <c r="E76" s="111">
        <f>'Memoria de Cálculo'!E356</f>
        <v>30</v>
      </c>
      <c r="F76" s="49">
        <f t="shared" si="10"/>
        <v>29.96</v>
      </c>
      <c r="G76">
        <v>24.97</v>
      </c>
      <c r="H76" s="57">
        <f t="shared" si="11"/>
        <v>898.8</v>
      </c>
      <c r="I76" s="41"/>
    </row>
    <row r="77" spans="1:10" s="44" customFormat="1" x14ac:dyDescent="0.2">
      <c r="A77" s="58" t="s">
        <v>136</v>
      </c>
      <c r="B77" s="176" t="s">
        <v>146</v>
      </c>
      <c r="C77" s="173" t="s">
        <v>147</v>
      </c>
      <c r="D77" s="176" t="s">
        <v>18</v>
      </c>
      <c r="E77" s="111">
        <f>'Memoria de Cálculo'!E361</f>
        <v>458.62200000000001</v>
      </c>
      <c r="F77" s="49">
        <f t="shared" si="10"/>
        <v>11.02</v>
      </c>
      <c r="G77">
        <v>9.18</v>
      </c>
      <c r="H77" s="57">
        <f t="shared" si="11"/>
        <v>5054.01</v>
      </c>
      <c r="I77" s="41"/>
    </row>
    <row r="78" spans="1:10" s="44" customFormat="1" x14ac:dyDescent="0.2">
      <c r="A78" s="58" t="s">
        <v>137</v>
      </c>
      <c r="B78" s="176" t="s">
        <v>210</v>
      </c>
      <c r="C78" s="173" t="s">
        <v>282</v>
      </c>
      <c r="D78" s="176" t="s">
        <v>18</v>
      </c>
      <c r="E78" s="111">
        <f>'Memoria de Cálculo'!E367</f>
        <v>458.62200000000001</v>
      </c>
      <c r="F78" s="49">
        <f t="shared" si="10"/>
        <v>5.08</v>
      </c>
      <c r="G78">
        <v>4.2300000000000004</v>
      </c>
      <c r="H78" s="57">
        <f t="shared" si="11"/>
        <v>2329.8000000000002</v>
      </c>
      <c r="I78" s="41"/>
    </row>
    <row r="79" spans="1:10" s="44" customFormat="1" x14ac:dyDescent="0.2">
      <c r="A79" s="58" t="s">
        <v>283</v>
      </c>
      <c r="B79" s="176" t="s">
        <v>156</v>
      </c>
      <c r="C79" s="173" t="s">
        <v>157</v>
      </c>
      <c r="D79" s="176" t="s">
        <v>18</v>
      </c>
      <c r="E79" s="111">
        <f>'Memoria de Cálculo'!E373</f>
        <v>210</v>
      </c>
      <c r="F79" s="49">
        <f t="shared" si="10"/>
        <v>61.6</v>
      </c>
      <c r="G79">
        <v>51.33</v>
      </c>
      <c r="H79" s="57">
        <f t="shared" si="11"/>
        <v>12936</v>
      </c>
      <c r="I79" s="41"/>
    </row>
    <row r="80" spans="1:10" s="44" customFormat="1" x14ac:dyDescent="0.2">
      <c r="A80" s="58" t="s">
        <v>284</v>
      </c>
      <c r="B80" s="176" t="s">
        <v>160</v>
      </c>
      <c r="C80" s="173" t="s">
        <v>161</v>
      </c>
      <c r="D80" s="176" t="s">
        <v>18</v>
      </c>
      <c r="E80" s="111">
        <f>'Memoria de Cálculo'!E378</f>
        <v>458.62200000000001</v>
      </c>
      <c r="F80" s="49">
        <f t="shared" si="10"/>
        <v>22.15</v>
      </c>
      <c r="G80">
        <v>18.46</v>
      </c>
      <c r="H80" s="57">
        <f t="shared" si="11"/>
        <v>10158.48</v>
      </c>
      <c r="I80" s="41"/>
    </row>
    <row r="81" spans="1:9" s="44" customFormat="1" x14ac:dyDescent="0.2">
      <c r="A81" s="61"/>
      <c r="B81" s="91"/>
      <c r="C81" s="92"/>
      <c r="D81" s="93"/>
      <c r="E81" s="111"/>
      <c r="F81" s="49"/>
      <c r="G81">
        <v>0</v>
      </c>
      <c r="H81" s="57"/>
      <c r="I81" s="41"/>
    </row>
    <row r="82" spans="1:9" s="38" customFormat="1" ht="15.75" x14ac:dyDescent="0.2">
      <c r="A82" s="60">
        <v>9</v>
      </c>
      <c r="B82" s="231"/>
      <c r="C82" s="42" t="s">
        <v>17</v>
      </c>
      <c r="D82" s="246"/>
      <c r="E82" s="246"/>
      <c r="F82" s="246"/>
      <c r="G82">
        <v>0</v>
      </c>
      <c r="H82" s="55">
        <f>SUM(H83:H89)</f>
        <v>10570.32</v>
      </c>
      <c r="I82" s="39"/>
    </row>
    <row r="83" spans="1:9" s="40" customFormat="1" x14ac:dyDescent="0.2">
      <c r="A83" s="56" t="s">
        <v>138</v>
      </c>
      <c r="B83" s="174" t="s">
        <v>190</v>
      </c>
      <c r="C83" s="173" t="s">
        <v>191</v>
      </c>
      <c r="D83" s="93" t="s">
        <v>61</v>
      </c>
      <c r="E83" s="121">
        <f>'Memoria de Cálculo'!E384</f>
        <v>22</v>
      </c>
      <c r="F83" s="49">
        <f t="shared" ref="F83:F89" si="12">ROUND((G83*(1+$H$8)),2)</f>
        <v>49.88</v>
      </c>
      <c r="G83">
        <v>41.57</v>
      </c>
      <c r="H83" s="57">
        <f t="shared" ref="H83:H89" si="13">ROUND((F83*E83),2)</f>
        <v>1097.3599999999999</v>
      </c>
      <c r="I83" s="41"/>
    </row>
    <row r="84" spans="1:9" s="40" customFormat="1" x14ac:dyDescent="0.2">
      <c r="A84" s="56" t="s">
        <v>139</v>
      </c>
      <c r="B84" s="174" t="s">
        <v>188</v>
      </c>
      <c r="C84" s="173" t="s">
        <v>189</v>
      </c>
      <c r="D84" s="176" t="s">
        <v>61</v>
      </c>
      <c r="E84" s="121">
        <f>'Memoria de Cálculo'!E388</f>
        <v>22</v>
      </c>
      <c r="F84" s="49">
        <f t="shared" si="12"/>
        <v>38.81</v>
      </c>
      <c r="G84">
        <v>32.340000000000003</v>
      </c>
      <c r="H84" s="57">
        <f t="shared" si="13"/>
        <v>853.82</v>
      </c>
      <c r="I84" s="41"/>
    </row>
    <row r="85" spans="1:9" s="40" customFormat="1" ht="30" x14ac:dyDescent="0.2">
      <c r="A85" s="56" t="s">
        <v>140</v>
      </c>
      <c r="B85" s="174" t="s">
        <v>192</v>
      </c>
      <c r="C85" s="173" t="s">
        <v>193</v>
      </c>
      <c r="D85" s="176" t="s">
        <v>61</v>
      </c>
      <c r="E85" s="178">
        <f>'Memoria de Cálculo'!E392</f>
        <v>25</v>
      </c>
      <c r="F85" s="49">
        <f t="shared" si="12"/>
        <v>142.88</v>
      </c>
      <c r="G85">
        <v>119.07</v>
      </c>
      <c r="H85" s="57">
        <f t="shared" si="13"/>
        <v>3572</v>
      </c>
      <c r="I85" s="41"/>
    </row>
    <row r="86" spans="1:9" s="40" customFormat="1" x14ac:dyDescent="0.2">
      <c r="A86" s="56" t="s">
        <v>141</v>
      </c>
      <c r="B86" s="145" t="s">
        <v>81</v>
      </c>
      <c r="C86" s="92" t="s">
        <v>80</v>
      </c>
      <c r="D86" s="93" t="s">
        <v>34</v>
      </c>
      <c r="E86" s="122">
        <f>'Memoria de Cálculo'!E396</f>
        <v>450</v>
      </c>
      <c r="F86" s="49">
        <f t="shared" si="12"/>
        <v>3.1</v>
      </c>
      <c r="G86">
        <v>2.58</v>
      </c>
      <c r="H86" s="57">
        <f t="shared" si="13"/>
        <v>1395</v>
      </c>
      <c r="I86" s="41"/>
    </row>
    <row r="87" spans="1:9" s="40" customFormat="1" x14ac:dyDescent="0.2">
      <c r="A87" s="56" t="s">
        <v>142</v>
      </c>
      <c r="B87" s="145" t="s">
        <v>83</v>
      </c>
      <c r="C87" s="92" t="s">
        <v>82</v>
      </c>
      <c r="D87" s="93" t="s">
        <v>34</v>
      </c>
      <c r="E87" s="121">
        <f>'Memoria de Cálculo'!E400</f>
        <v>150</v>
      </c>
      <c r="F87" s="49">
        <f t="shared" si="12"/>
        <v>20.75</v>
      </c>
      <c r="G87">
        <v>17.29</v>
      </c>
      <c r="H87" s="57">
        <f t="shared" si="13"/>
        <v>3112.5</v>
      </c>
      <c r="I87" s="41"/>
    </row>
    <row r="88" spans="1:9" s="40" customFormat="1" x14ac:dyDescent="0.2">
      <c r="A88" s="56" t="s">
        <v>143</v>
      </c>
      <c r="B88" s="145" t="s">
        <v>85</v>
      </c>
      <c r="C88" s="92" t="s">
        <v>84</v>
      </c>
      <c r="D88" s="93" t="s">
        <v>61</v>
      </c>
      <c r="E88" s="121">
        <f>'Memoria de Cálculo'!E404</f>
        <v>2</v>
      </c>
      <c r="F88" s="49">
        <f t="shared" si="12"/>
        <v>21.66</v>
      </c>
      <c r="G88">
        <v>18.05</v>
      </c>
      <c r="H88" s="57">
        <f t="shared" si="13"/>
        <v>43.32</v>
      </c>
      <c r="I88" s="41"/>
    </row>
    <row r="89" spans="1:9" s="40" customFormat="1" x14ac:dyDescent="0.2">
      <c r="A89" s="56" t="s">
        <v>144</v>
      </c>
      <c r="B89" s="145" t="s">
        <v>87</v>
      </c>
      <c r="C89" s="92" t="s">
        <v>86</v>
      </c>
      <c r="D89" s="93" t="s">
        <v>61</v>
      </c>
      <c r="E89" s="121">
        <f>'Memoria de Cálculo'!E408</f>
        <v>47</v>
      </c>
      <c r="F89" s="49">
        <f t="shared" si="12"/>
        <v>10.56</v>
      </c>
      <c r="G89">
        <v>8.8000000000000007</v>
      </c>
      <c r="H89" s="57">
        <f t="shared" si="13"/>
        <v>496.32</v>
      </c>
      <c r="I89" s="41"/>
    </row>
    <row r="90" spans="1:9" s="40" customFormat="1" x14ac:dyDescent="0.2">
      <c r="A90" s="61"/>
      <c r="B90" s="196"/>
      <c r="C90" s="128"/>
      <c r="D90" s="127"/>
      <c r="E90" s="122"/>
      <c r="F90" s="129"/>
      <c r="G90">
        <v>0</v>
      </c>
      <c r="H90" s="57"/>
      <c r="I90" s="41"/>
    </row>
    <row r="91" spans="1:9" s="40" customFormat="1" ht="15.75" x14ac:dyDescent="0.2">
      <c r="A91" s="60">
        <v>10</v>
      </c>
      <c r="B91" s="231"/>
      <c r="C91" s="42" t="s">
        <v>295</v>
      </c>
      <c r="D91" s="246"/>
      <c r="E91" s="246"/>
      <c r="F91" s="246"/>
      <c r="G91">
        <v>0</v>
      </c>
      <c r="H91" s="55">
        <f>SUM(H92:H107)</f>
        <v>9469.8000000000011</v>
      </c>
      <c r="I91" s="41"/>
    </row>
    <row r="92" spans="1:9" s="40" customFormat="1" x14ac:dyDescent="0.2">
      <c r="A92" s="56" t="s">
        <v>278</v>
      </c>
      <c r="B92" s="176" t="s">
        <v>196</v>
      </c>
      <c r="C92" s="173" t="s">
        <v>197</v>
      </c>
      <c r="D92" s="176" t="s">
        <v>24</v>
      </c>
      <c r="E92" s="200">
        <v>2</v>
      </c>
      <c r="F92" s="49">
        <f t="shared" ref="F92:F107" si="14">ROUND((G92*(1+$H$8)),2)</f>
        <v>490.28</v>
      </c>
      <c r="G92">
        <v>408.57</v>
      </c>
      <c r="H92" s="57">
        <f t="shared" ref="H92:H107" si="15">ROUND((F92*E92),2)</f>
        <v>980.56</v>
      </c>
      <c r="I92" s="41"/>
    </row>
    <row r="93" spans="1:9" s="40" customFormat="1" x14ac:dyDescent="0.2">
      <c r="A93" s="56" t="s">
        <v>279</v>
      </c>
      <c r="B93" s="176" t="s">
        <v>198</v>
      </c>
      <c r="C93" s="173" t="s">
        <v>199</v>
      </c>
      <c r="D93" s="176" t="s">
        <v>61</v>
      </c>
      <c r="E93" s="200">
        <v>2</v>
      </c>
      <c r="F93" s="49">
        <f t="shared" si="14"/>
        <v>29.75</v>
      </c>
      <c r="G93">
        <v>24.79</v>
      </c>
      <c r="H93" s="57">
        <f t="shared" si="15"/>
        <v>59.5</v>
      </c>
      <c r="I93" s="41"/>
    </row>
    <row r="94" spans="1:9" s="40" customFormat="1" x14ac:dyDescent="0.2">
      <c r="A94" s="56" t="s">
        <v>280</v>
      </c>
      <c r="B94" s="176" t="s">
        <v>194</v>
      </c>
      <c r="C94" s="173" t="s">
        <v>195</v>
      </c>
      <c r="D94" s="176" t="s">
        <v>61</v>
      </c>
      <c r="E94" s="200">
        <v>2</v>
      </c>
      <c r="F94" s="49">
        <f t="shared" si="14"/>
        <v>241.66</v>
      </c>
      <c r="G94">
        <v>201.38</v>
      </c>
      <c r="H94" s="57">
        <f t="shared" si="15"/>
        <v>483.32</v>
      </c>
      <c r="I94" s="41"/>
    </row>
    <row r="95" spans="1:9" s="40" customFormat="1" x14ac:dyDescent="0.2">
      <c r="A95" s="56" t="s">
        <v>328</v>
      </c>
      <c r="B95" s="176" t="s">
        <v>154</v>
      </c>
      <c r="C95" s="173" t="s">
        <v>155</v>
      </c>
      <c r="D95" s="176" t="s">
        <v>18</v>
      </c>
      <c r="E95" s="200">
        <v>13.63</v>
      </c>
      <c r="F95" s="49">
        <f t="shared" si="14"/>
        <v>55.44</v>
      </c>
      <c r="G95">
        <v>46.2</v>
      </c>
      <c r="H95" s="57">
        <f t="shared" si="15"/>
        <v>755.65</v>
      </c>
      <c r="I95" s="41"/>
    </row>
    <row r="96" spans="1:9" s="40" customFormat="1" x14ac:dyDescent="0.2">
      <c r="A96" s="56" t="s">
        <v>329</v>
      </c>
      <c r="B96" s="176" t="s">
        <v>54</v>
      </c>
      <c r="C96" s="173" t="s">
        <v>55</v>
      </c>
      <c r="D96" s="176" t="s">
        <v>18</v>
      </c>
      <c r="E96" s="200">
        <f>E95*2</f>
        <v>27.26</v>
      </c>
      <c r="F96" s="49">
        <f t="shared" si="14"/>
        <v>4.92</v>
      </c>
      <c r="G96">
        <v>4.0999999999999996</v>
      </c>
      <c r="H96" s="57">
        <f t="shared" si="15"/>
        <v>134.12</v>
      </c>
      <c r="I96" s="41"/>
    </row>
    <row r="97" spans="1:10" s="40" customFormat="1" x14ac:dyDescent="0.2">
      <c r="A97" s="56" t="s">
        <v>330</v>
      </c>
      <c r="B97" s="176" t="s">
        <v>29</v>
      </c>
      <c r="C97" s="173" t="s">
        <v>28</v>
      </c>
      <c r="D97" s="176" t="s">
        <v>18</v>
      </c>
      <c r="E97" s="200">
        <f>E96*2</f>
        <v>54.52</v>
      </c>
      <c r="F97" s="49">
        <f t="shared" si="14"/>
        <v>19.03</v>
      </c>
      <c r="G97">
        <v>15.86</v>
      </c>
      <c r="H97" s="57">
        <f t="shared" si="15"/>
        <v>1037.52</v>
      </c>
      <c r="I97" s="41"/>
    </row>
    <row r="98" spans="1:10" s="40" customFormat="1" ht="30" x14ac:dyDescent="0.2">
      <c r="A98" s="56" t="s">
        <v>331</v>
      </c>
      <c r="B98" s="176" t="s">
        <v>168</v>
      </c>
      <c r="C98" s="173" t="s">
        <v>169</v>
      </c>
      <c r="D98" s="176" t="s">
        <v>18</v>
      </c>
      <c r="E98" s="200">
        <f>(1.28+1.28+4)*2.7*2</f>
        <v>35.424000000000007</v>
      </c>
      <c r="F98" s="49">
        <f t="shared" si="14"/>
        <v>71.349999999999994</v>
      </c>
      <c r="G98">
        <v>59.46</v>
      </c>
      <c r="H98" s="57">
        <f t="shared" si="15"/>
        <v>2527.5</v>
      </c>
      <c r="I98" s="41"/>
    </row>
    <row r="99" spans="1:10" s="40" customFormat="1" ht="30" x14ac:dyDescent="0.2">
      <c r="A99" s="56" t="s">
        <v>332</v>
      </c>
      <c r="B99" s="141" t="s">
        <v>99</v>
      </c>
      <c r="C99" s="92" t="s">
        <v>98</v>
      </c>
      <c r="D99" s="93" t="s">
        <v>18</v>
      </c>
      <c r="E99" s="200">
        <f>2.55*2+2.5</f>
        <v>7.6</v>
      </c>
      <c r="F99" s="49">
        <f t="shared" si="14"/>
        <v>57.52</v>
      </c>
      <c r="G99">
        <v>47.93</v>
      </c>
      <c r="H99" s="57">
        <f t="shared" si="15"/>
        <v>437.15</v>
      </c>
      <c r="I99" s="41"/>
    </row>
    <row r="100" spans="1:10" s="40" customFormat="1" x14ac:dyDescent="0.2">
      <c r="A100" s="56" t="s">
        <v>333</v>
      </c>
      <c r="B100" s="141" t="s">
        <v>30</v>
      </c>
      <c r="C100" s="92" t="s">
        <v>95</v>
      </c>
      <c r="D100" s="93" t="s">
        <v>56</v>
      </c>
      <c r="E100" s="200">
        <f>7.6*0.1</f>
        <v>0.76</v>
      </c>
      <c r="F100" s="49">
        <f t="shared" si="14"/>
        <v>570.08000000000004</v>
      </c>
      <c r="G100">
        <v>475.07</v>
      </c>
      <c r="H100" s="57">
        <f t="shared" si="15"/>
        <v>433.26</v>
      </c>
      <c r="I100" s="41"/>
    </row>
    <row r="101" spans="1:10" s="40" customFormat="1" x14ac:dyDescent="0.2">
      <c r="A101" s="56" t="s">
        <v>334</v>
      </c>
      <c r="B101" s="141" t="s">
        <v>97</v>
      </c>
      <c r="C101" s="92" t="s">
        <v>96</v>
      </c>
      <c r="D101" s="93" t="s">
        <v>18</v>
      </c>
      <c r="E101" s="200">
        <v>0</v>
      </c>
      <c r="F101" s="49">
        <f t="shared" si="14"/>
        <v>22.68</v>
      </c>
      <c r="G101">
        <v>18.899999999999999</v>
      </c>
      <c r="H101" s="57">
        <f t="shared" si="15"/>
        <v>0</v>
      </c>
      <c r="I101" s="41"/>
    </row>
    <row r="102" spans="1:10" s="40" customFormat="1" ht="30" x14ac:dyDescent="0.2">
      <c r="A102" s="56" t="s">
        <v>335</v>
      </c>
      <c r="B102" s="176" t="s">
        <v>202</v>
      </c>
      <c r="C102" s="173" t="s">
        <v>203</v>
      </c>
      <c r="D102" s="176" t="s">
        <v>34</v>
      </c>
      <c r="E102" s="200">
        <v>3</v>
      </c>
      <c r="F102" s="49">
        <f t="shared" si="14"/>
        <v>32.17</v>
      </c>
      <c r="G102" s="257">
        <v>26.81</v>
      </c>
      <c r="H102" s="57">
        <f t="shared" si="15"/>
        <v>96.51</v>
      </c>
      <c r="I102" s="41"/>
    </row>
    <row r="103" spans="1:10" s="40" customFormat="1" ht="30" x14ac:dyDescent="0.2">
      <c r="A103" s="56" t="s">
        <v>336</v>
      </c>
      <c r="B103" s="176" t="s">
        <v>204</v>
      </c>
      <c r="C103" s="173" t="s">
        <v>205</v>
      </c>
      <c r="D103" s="176" t="s">
        <v>34</v>
      </c>
      <c r="E103" s="200">
        <v>20</v>
      </c>
      <c r="F103" s="49">
        <f t="shared" si="14"/>
        <v>59.21</v>
      </c>
      <c r="G103" s="257">
        <v>49.34</v>
      </c>
      <c r="H103" s="57">
        <f t="shared" si="15"/>
        <v>1184.2</v>
      </c>
      <c r="I103" s="41"/>
    </row>
    <row r="104" spans="1:10" s="40" customFormat="1" x14ac:dyDescent="0.2">
      <c r="A104" s="56" t="s">
        <v>337</v>
      </c>
      <c r="B104" s="176" t="s">
        <v>207</v>
      </c>
      <c r="C104" s="173" t="s">
        <v>208</v>
      </c>
      <c r="D104" s="176" t="s">
        <v>61</v>
      </c>
      <c r="E104" s="200">
        <v>2</v>
      </c>
      <c r="F104" s="49">
        <f t="shared" si="14"/>
        <v>63.37</v>
      </c>
      <c r="G104">
        <v>52.81</v>
      </c>
      <c r="H104" s="57">
        <f t="shared" si="15"/>
        <v>126.74</v>
      </c>
      <c r="I104" s="41"/>
    </row>
    <row r="105" spans="1:10" s="40" customFormat="1" x14ac:dyDescent="0.2">
      <c r="A105" s="56" t="s">
        <v>338</v>
      </c>
      <c r="B105" s="176" t="s">
        <v>209</v>
      </c>
      <c r="C105" s="173" t="s">
        <v>296</v>
      </c>
      <c r="D105" s="176" t="s">
        <v>61</v>
      </c>
      <c r="E105" s="200">
        <v>1</v>
      </c>
      <c r="F105" s="49">
        <f t="shared" si="14"/>
        <v>256.02999999999997</v>
      </c>
      <c r="G105">
        <v>213.36</v>
      </c>
      <c r="H105" s="57">
        <f t="shared" si="15"/>
        <v>256.02999999999997</v>
      </c>
      <c r="I105" s="41"/>
    </row>
    <row r="106" spans="1:10" s="40" customFormat="1" x14ac:dyDescent="0.2">
      <c r="A106" s="56" t="s">
        <v>339</v>
      </c>
      <c r="B106" s="176" t="s">
        <v>200</v>
      </c>
      <c r="C106" s="173" t="s">
        <v>201</v>
      </c>
      <c r="D106" s="176" t="s">
        <v>34</v>
      </c>
      <c r="E106" s="200">
        <v>20</v>
      </c>
      <c r="F106" s="49">
        <f t="shared" si="14"/>
        <v>24.95</v>
      </c>
      <c r="G106">
        <v>20.79</v>
      </c>
      <c r="H106" s="57">
        <f t="shared" si="15"/>
        <v>499</v>
      </c>
      <c r="I106" s="41"/>
    </row>
    <row r="107" spans="1:10" s="40" customFormat="1" x14ac:dyDescent="0.2">
      <c r="A107" s="56" t="s">
        <v>340</v>
      </c>
      <c r="B107" s="176" t="s">
        <v>64</v>
      </c>
      <c r="C107" s="173" t="s">
        <v>178</v>
      </c>
      <c r="D107" s="176" t="s">
        <v>18</v>
      </c>
      <c r="E107" s="200">
        <v>7.6</v>
      </c>
      <c r="F107" s="49">
        <f t="shared" si="14"/>
        <v>60.36</v>
      </c>
      <c r="G107">
        <v>50.3</v>
      </c>
      <c r="H107" s="57">
        <f t="shared" si="15"/>
        <v>458.74</v>
      </c>
      <c r="I107" s="41"/>
    </row>
    <row r="108" spans="1:10" s="40" customFormat="1" x14ac:dyDescent="0.2">
      <c r="A108" s="61"/>
      <c r="B108" s="127"/>
      <c r="C108" s="128"/>
      <c r="D108" s="127"/>
      <c r="E108" s="122"/>
      <c r="F108" s="129"/>
      <c r="G108" s="130"/>
      <c r="H108" s="131"/>
      <c r="I108" s="41"/>
    </row>
    <row r="109" spans="1:10" s="12" customFormat="1" ht="18.75" thickBot="1" x14ac:dyDescent="0.25">
      <c r="A109" s="244"/>
      <c r="B109" s="245"/>
      <c r="C109" s="245"/>
      <c r="D109" s="245"/>
      <c r="E109" s="244" t="s">
        <v>7</v>
      </c>
      <c r="F109" s="262">
        <f>H82+H73+H65+H50+H40+H29+H24+H21+H13+H91</f>
        <v>299992.37999999995</v>
      </c>
      <c r="G109" s="262"/>
      <c r="H109" s="263"/>
      <c r="J109" s="35"/>
    </row>
    <row r="110" spans="1:10" s="12" customFormat="1" ht="34.5" customHeight="1" x14ac:dyDescent="0.25">
      <c r="A110" s="223"/>
      <c r="B110" s="224"/>
      <c r="C110" s="223"/>
      <c r="D110" s="224"/>
      <c r="E110" s="225"/>
      <c r="F110" s="226"/>
      <c r="G110" s="227"/>
      <c r="H110" s="226"/>
      <c r="J110" s="35"/>
    </row>
    <row r="111" spans="1:10" s="12" customFormat="1" ht="34.5" customHeight="1" x14ac:dyDescent="0.25">
      <c r="A111" s="223"/>
      <c r="B111" s="224"/>
      <c r="C111" s="223"/>
      <c r="D111" s="224"/>
      <c r="E111" s="225"/>
      <c r="F111" s="226"/>
      <c r="G111" s="227"/>
      <c r="H111" s="226"/>
      <c r="J111" s="35"/>
    </row>
    <row r="112" spans="1:10" s="12" customFormat="1" ht="30" customHeight="1" thickBot="1" x14ac:dyDescent="0.3">
      <c r="A112" s="242"/>
      <c r="B112" s="242"/>
      <c r="C112" s="242"/>
      <c r="D112" s="50"/>
      <c r="E112" s="234"/>
      <c r="F112" s="37"/>
      <c r="G112" s="79"/>
      <c r="H112" s="37"/>
      <c r="J112" s="35"/>
    </row>
    <row r="113" spans="1:10" ht="54.75" customHeight="1" thickBot="1" x14ac:dyDescent="0.25">
      <c r="A113" s="237"/>
      <c r="B113" s="238"/>
      <c r="C113" s="238"/>
      <c r="D113" s="238"/>
      <c r="E113" s="238"/>
      <c r="F113" s="238"/>
      <c r="G113" s="238"/>
      <c r="H113" s="241"/>
    </row>
    <row r="114" spans="1:10" x14ac:dyDescent="0.2">
      <c r="A114" s="20"/>
      <c r="C114" s="8"/>
      <c r="D114" s="66"/>
      <c r="E114" s="113"/>
      <c r="F114" s="14"/>
      <c r="H114" s="29"/>
      <c r="J114" s="47"/>
    </row>
    <row r="115" spans="1:10" x14ac:dyDescent="0.2">
      <c r="A115" s="36"/>
      <c r="C115" s="8"/>
      <c r="D115" s="66"/>
      <c r="E115" s="114"/>
      <c r="F115" s="14"/>
      <c r="H115" s="29"/>
    </row>
    <row r="116" spans="1:10" x14ac:dyDescent="0.2">
      <c r="A116" s="20"/>
      <c r="C116" s="8"/>
      <c r="D116" s="67"/>
      <c r="E116" s="114"/>
      <c r="F116" s="14"/>
      <c r="H116" s="31"/>
    </row>
    <row r="117" spans="1:10" x14ac:dyDescent="0.2">
      <c r="A117" s="20"/>
      <c r="C117" s="8"/>
      <c r="D117" s="67"/>
      <c r="E117" s="114"/>
      <c r="F117" s="14"/>
      <c r="H117" s="31"/>
    </row>
    <row r="118" spans="1:10" x14ac:dyDescent="0.2">
      <c r="A118" s="20"/>
      <c r="C118" s="9"/>
      <c r="D118" s="66"/>
      <c r="E118" s="113"/>
      <c r="F118" s="14"/>
      <c r="H118" s="29"/>
    </row>
    <row r="119" spans="1:10" ht="18" x14ac:dyDescent="0.25">
      <c r="A119" s="20"/>
      <c r="C119" s="10"/>
      <c r="D119" s="51"/>
      <c r="E119" s="4"/>
      <c r="F119" s="15"/>
      <c r="H119" s="32"/>
    </row>
    <row r="120" spans="1:10" x14ac:dyDescent="0.2">
      <c r="A120" s="20"/>
      <c r="C120" s="8"/>
      <c r="D120" s="67"/>
      <c r="E120" s="115"/>
      <c r="F120" s="11"/>
      <c r="H120" s="29"/>
    </row>
    <row r="121" spans="1:10" x14ac:dyDescent="0.2">
      <c r="A121" s="20"/>
      <c r="C121" s="8"/>
      <c r="D121" s="67"/>
      <c r="E121" s="115"/>
      <c r="F121" s="11"/>
      <c r="H121" s="29"/>
    </row>
    <row r="122" spans="1:10" x14ac:dyDescent="0.2">
      <c r="A122" s="20"/>
      <c r="H122" s="29"/>
    </row>
    <row r="123" spans="1:10" x14ac:dyDescent="0.2">
      <c r="A123" s="20"/>
      <c r="H123" s="29"/>
    </row>
    <row r="124" spans="1:10" ht="15.75" thickBot="1" x14ac:dyDescent="0.25">
      <c r="A124" s="21"/>
      <c r="B124" s="69"/>
      <c r="C124" s="22"/>
      <c r="D124" s="69"/>
      <c r="E124" s="117"/>
      <c r="F124" s="33"/>
      <c r="G124" s="229"/>
      <c r="H124" s="34"/>
    </row>
    <row r="125" spans="1:10" x14ac:dyDescent="0.2">
      <c r="E125" s="118"/>
    </row>
    <row r="126" spans="1:10" x14ac:dyDescent="0.2">
      <c r="E126" s="118"/>
    </row>
    <row r="127" spans="1:10" x14ac:dyDescent="0.2">
      <c r="E127" s="118"/>
    </row>
    <row r="128" spans="1:10" x14ac:dyDescent="0.2">
      <c r="E128" s="118"/>
    </row>
    <row r="129" spans="5:5" x14ac:dyDescent="0.2">
      <c r="E129" s="118"/>
    </row>
    <row r="130" spans="5:5" x14ac:dyDescent="0.2">
      <c r="E130" s="118"/>
    </row>
    <row r="131" spans="5:5" x14ac:dyDescent="0.2">
      <c r="E131" s="119"/>
    </row>
    <row r="132" spans="5:5" x14ac:dyDescent="0.2">
      <c r="E132" s="119"/>
    </row>
    <row r="133" spans="5:5" x14ac:dyDescent="0.2">
      <c r="E133" s="119"/>
    </row>
  </sheetData>
  <mergeCells count="3">
    <mergeCell ref="A9:B9"/>
    <mergeCell ref="F109:H109"/>
    <mergeCell ref="A7:B7"/>
  </mergeCells>
  <phoneticPr fontId="0" type="noConversion"/>
  <printOptions horizontalCentered="1" gridLines="1"/>
  <pageMargins left="0.39370078740157483" right="0.39370078740157483" top="0.59055118110236227" bottom="0.39370078740157483" header="0.39370078740157483" footer="0.39370078740157483"/>
  <pageSetup paperSize="9" scale="53" fitToHeight="0" orientation="portrait" blackAndWhite="1" horizontalDpi="4294967294" verticalDpi="4294967294" r:id="rId1"/>
  <headerFooter alignWithMargins="0"/>
  <rowBreaks count="1" manualBreakCount="1">
    <brk id="8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2"/>
  <sheetViews>
    <sheetView tabSelected="1" zoomScale="85" zoomScaleNormal="85" workbookViewId="0">
      <selection activeCell="J11" sqref="J11"/>
    </sheetView>
  </sheetViews>
  <sheetFormatPr defaultRowHeight="12.75" x14ac:dyDescent="0.2"/>
  <cols>
    <col min="1" max="1" width="8.85546875" style="137"/>
    <col min="2" max="2" width="19" style="137" customWidth="1"/>
    <col min="3" max="3" width="57.42578125" style="138" customWidth="1"/>
    <col min="4" max="4" width="21" style="137" customWidth="1"/>
    <col min="5" max="5" width="22.5703125" style="137" customWidth="1"/>
    <col min="6" max="6" width="28.7109375" style="137" customWidth="1"/>
    <col min="7" max="7" width="29.7109375" customWidth="1"/>
  </cols>
  <sheetData>
    <row r="1" spans="1:7" ht="20.25" x14ac:dyDescent="0.3">
      <c r="A1" s="133"/>
      <c r="B1" s="71"/>
      <c r="C1" s="267" t="s">
        <v>5</v>
      </c>
      <c r="D1" s="267"/>
      <c r="E1" s="267"/>
      <c r="F1" s="267"/>
      <c r="G1" s="267"/>
    </row>
    <row r="2" spans="1:7" ht="20.25" x14ac:dyDescent="0.3">
      <c r="A2" s="134"/>
      <c r="B2" s="68"/>
      <c r="C2" s="268" t="s">
        <v>19</v>
      </c>
      <c r="D2" s="268"/>
      <c r="E2" s="268"/>
      <c r="F2" s="268"/>
      <c r="G2" s="268"/>
    </row>
    <row r="3" spans="1:7" x14ac:dyDescent="0.2">
      <c r="A3" s="135"/>
      <c r="B3" s="68"/>
      <c r="C3" s="269"/>
      <c r="D3" s="269"/>
      <c r="E3" s="269"/>
      <c r="F3" s="269"/>
      <c r="G3" s="269"/>
    </row>
    <row r="4" spans="1:7" ht="18" x14ac:dyDescent="0.25">
      <c r="A4" s="136"/>
      <c r="B4" s="68"/>
      <c r="C4" s="270" t="s">
        <v>277</v>
      </c>
      <c r="D4" s="270"/>
      <c r="E4" s="270"/>
      <c r="F4" s="270"/>
      <c r="G4" s="270"/>
    </row>
    <row r="5" spans="1:7" x14ac:dyDescent="0.2">
      <c r="A5" s="136"/>
      <c r="B5" s="146"/>
      <c r="C5" s="271"/>
      <c r="D5" s="271"/>
      <c r="E5" s="271"/>
      <c r="F5" s="271"/>
      <c r="G5" s="271"/>
    </row>
    <row r="6" spans="1:7" ht="15.75" x14ac:dyDescent="0.2">
      <c r="A6" s="19"/>
      <c r="B6" s="147"/>
      <c r="C6" s="148"/>
      <c r="D6" s="147"/>
      <c r="E6" s="19"/>
      <c r="F6" s="19"/>
      <c r="G6" s="149"/>
    </row>
    <row r="7" spans="1:7" ht="15.75" x14ac:dyDescent="0.2">
      <c r="A7" s="266" t="s">
        <v>13</v>
      </c>
      <c r="B7" s="266"/>
      <c r="C7" s="272" t="s">
        <v>35</v>
      </c>
      <c r="D7" s="272"/>
      <c r="E7" s="272"/>
      <c r="F7" s="162" t="s">
        <v>11</v>
      </c>
      <c r="G7" s="163">
        <v>43847</v>
      </c>
    </row>
    <row r="8" spans="1:7" ht="15.75" x14ac:dyDescent="0.2">
      <c r="A8" s="266"/>
      <c r="B8" s="266"/>
      <c r="C8" s="272"/>
      <c r="D8" s="272"/>
      <c r="E8" s="272"/>
      <c r="F8" s="162" t="s">
        <v>10</v>
      </c>
      <c r="G8" s="164">
        <v>0.2</v>
      </c>
    </row>
    <row r="9" spans="1:7" ht="15.75" x14ac:dyDescent="0.2">
      <c r="A9" s="266" t="s">
        <v>12</v>
      </c>
      <c r="B9" s="266"/>
      <c r="C9" s="266" t="s">
        <v>36</v>
      </c>
      <c r="D9" s="266"/>
      <c r="E9" s="266"/>
      <c r="F9" s="162" t="s">
        <v>15</v>
      </c>
      <c r="G9" s="165">
        <v>43647</v>
      </c>
    </row>
    <row r="10" spans="1:7" ht="15.75" x14ac:dyDescent="0.2">
      <c r="A10" s="162"/>
      <c r="B10" s="162"/>
      <c r="C10" s="166"/>
      <c r="D10" s="162"/>
      <c r="E10" s="167"/>
      <c r="F10" s="162"/>
      <c r="G10" s="170"/>
    </row>
    <row r="11" spans="1:7" ht="15.75" x14ac:dyDescent="0.2">
      <c r="A11" s="162" t="s">
        <v>0</v>
      </c>
      <c r="B11" s="168" t="s">
        <v>145</v>
      </c>
      <c r="C11" s="166" t="s">
        <v>6</v>
      </c>
      <c r="D11" s="162" t="s">
        <v>3</v>
      </c>
      <c r="E11" s="169" t="s">
        <v>8</v>
      </c>
      <c r="F11" s="171"/>
      <c r="G11" s="172"/>
    </row>
    <row r="12" spans="1:7" x14ac:dyDescent="0.2">
      <c r="A12" s="181">
        <f>Planilha!A13</f>
        <v>1</v>
      </c>
      <c r="B12" s="181"/>
      <c r="C12" s="182" t="str">
        <f>Planilha!C13</f>
        <v>Serviços preliminares</v>
      </c>
      <c r="D12" s="181"/>
      <c r="E12" s="181"/>
      <c r="F12" s="188"/>
      <c r="G12" s="189"/>
    </row>
    <row r="13" spans="1:7" x14ac:dyDescent="0.2">
      <c r="A13" s="181" t="str">
        <f>Planilha!A14</f>
        <v>1.1</v>
      </c>
      <c r="B13" s="181" t="str">
        <f>Planilha!B14</f>
        <v>02.08.020</v>
      </c>
      <c r="C13" s="182" t="str">
        <f>Planilha!C14</f>
        <v>Placa de identificação para obra</v>
      </c>
      <c r="D13" s="181" t="str">
        <f>Planilha!D14</f>
        <v>m²</v>
      </c>
      <c r="E13" s="183">
        <f>3*2</f>
        <v>6</v>
      </c>
      <c r="F13" s="188"/>
      <c r="G13" s="189"/>
    </row>
    <row r="14" spans="1:7" x14ac:dyDescent="0.2">
      <c r="A14" s="151"/>
      <c r="B14" s="151"/>
      <c r="C14" s="154" t="s">
        <v>214</v>
      </c>
      <c r="D14" s="151"/>
      <c r="E14" s="155"/>
      <c r="F14" s="151"/>
      <c r="G14" s="152"/>
    </row>
    <row r="15" spans="1:7" x14ac:dyDescent="0.2">
      <c r="A15" s="151"/>
      <c r="B15" s="151"/>
      <c r="C15" s="156"/>
      <c r="D15" s="151"/>
      <c r="E15" s="155"/>
      <c r="F15" s="151"/>
      <c r="G15" s="152"/>
    </row>
    <row r="16" spans="1:7" s="139" customFormat="1" ht="25.5" x14ac:dyDescent="0.2">
      <c r="A16" s="181" t="str">
        <f>Planilha!A15</f>
        <v>1.2</v>
      </c>
      <c r="B16" s="181" t="str">
        <f>Planilha!B15</f>
        <v>03.04.020</v>
      </c>
      <c r="C16" s="182" t="str">
        <f>Planilha!C15</f>
        <v>Demolição manual de revestimento cerâmico, incluindo a base (piso)</v>
      </c>
      <c r="D16" s="181" t="str">
        <f>Planilha!D15</f>
        <v>m²</v>
      </c>
      <c r="E16" s="183">
        <f>D24</f>
        <v>438.45</v>
      </c>
      <c r="F16" s="181"/>
      <c r="G16" s="190"/>
    </row>
    <row r="17" spans="1:7" s="139" customFormat="1" x14ac:dyDescent="0.2">
      <c r="A17" s="147"/>
      <c r="B17" s="147"/>
      <c r="C17" s="150"/>
      <c r="D17" s="147"/>
      <c r="E17" s="153"/>
      <c r="F17" s="147"/>
      <c r="G17" s="157"/>
    </row>
    <row r="18" spans="1:7" s="6" customFormat="1" x14ac:dyDescent="0.2">
      <c r="A18" s="158"/>
      <c r="B18" s="158"/>
      <c r="C18" s="154" t="s">
        <v>218</v>
      </c>
      <c r="D18" s="158" t="s">
        <v>219</v>
      </c>
      <c r="E18" s="159"/>
      <c r="F18" s="158"/>
      <c r="G18" s="160"/>
    </row>
    <row r="19" spans="1:7" x14ac:dyDescent="0.2">
      <c r="A19" s="151"/>
      <c r="B19" s="151"/>
      <c r="C19" s="154" t="s">
        <v>215</v>
      </c>
      <c r="D19" s="151">
        <v>58.61</v>
      </c>
      <c r="E19" s="155"/>
      <c r="F19" s="151"/>
      <c r="G19" s="152"/>
    </row>
    <row r="20" spans="1:7" x14ac:dyDescent="0.2">
      <c r="A20" s="151"/>
      <c r="B20" s="151"/>
      <c r="C20" s="154" t="s">
        <v>216</v>
      </c>
      <c r="D20" s="151">
        <v>18.600000000000001</v>
      </c>
      <c r="E20" s="155"/>
      <c r="F20" s="151"/>
      <c r="G20" s="152"/>
    </row>
    <row r="21" spans="1:7" x14ac:dyDescent="0.2">
      <c r="A21" s="151"/>
      <c r="B21" s="151"/>
      <c r="C21" s="154" t="s">
        <v>217</v>
      </c>
      <c r="D21" s="151">
        <v>55.53</v>
      </c>
      <c r="E21" s="155"/>
      <c r="F21" s="151"/>
      <c r="G21" s="152"/>
    </row>
    <row r="22" spans="1:7" x14ac:dyDescent="0.2">
      <c r="A22" s="151"/>
      <c r="B22" s="151"/>
      <c r="C22" s="154" t="s">
        <v>236</v>
      </c>
      <c r="D22" s="151">
        <v>15.82</v>
      </c>
      <c r="E22" s="155"/>
      <c r="F22" s="151"/>
      <c r="G22" s="152"/>
    </row>
    <row r="23" spans="1:7" x14ac:dyDescent="0.2">
      <c r="A23" s="151"/>
      <c r="B23" s="151"/>
      <c r="C23" s="154" t="s">
        <v>220</v>
      </c>
      <c r="D23" s="151">
        <v>289.89</v>
      </c>
      <c r="E23" s="155"/>
      <c r="F23" s="151"/>
      <c r="G23" s="152"/>
    </row>
    <row r="24" spans="1:7" x14ac:dyDescent="0.2">
      <c r="A24" s="151"/>
      <c r="B24" s="151"/>
      <c r="C24" s="154" t="s">
        <v>221</v>
      </c>
      <c r="D24" s="151">
        <f>ROUND((SUM(D19:D23)),2)</f>
        <v>438.45</v>
      </c>
      <c r="E24" s="155"/>
      <c r="F24" s="151"/>
      <c r="G24" s="152"/>
    </row>
    <row r="25" spans="1:7" x14ac:dyDescent="0.2">
      <c r="A25" s="151"/>
      <c r="B25" s="151"/>
      <c r="C25" s="154"/>
      <c r="D25" s="151"/>
      <c r="E25" s="155"/>
      <c r="F25" s="151"/>
      <c r="G25" s="152"/>
    </row>
    <row r="26" spans="1:7" s="139" customFormat="1" ht="25.5" x14ac:dyDescent="0.2">
      <c r="A26" s="181" t="str">
        <f>Planilha!A16</f>
        <v>1.3</v>
      </c>
      <c r="B26" s="181" t="str">
        <f>Planilha!B16</f>
        <v>03.04.020</v>
      </c>
      <c r="C26" s="182" t="str">
        <f>Planilha!C16</f>
        <v>Demolição manual de revestimento cerâmico, incluindo a base (paredes)</v>
      </c>
      <c r="D26" s="181" t="str">
        <f>Planilha!D16</f>
        <v>m²</v>
      </c>
      <c r="E26" s="183">
        <f>F33</f>
        <v>105.3</v>
      </c>
      <c r="F26" s="181"/>
      <c r="G26" s="190"/>
    </row>
    <row r="27" spans="1:7" x14ac:dyDescent="0.2">
      <c r="A27" s="151"/>
      <c r="B27" s="151"/>
      <c r="C27" s="156"/>
      <c r="D27" s="151"/>
      <c r="E27" s="155"/>
      <c r="F27" s="151"/>
      <c r="G27" s="152"/>
    </row>
    <row r="28" spans="1:7" x14ac:dyDescent="0.2">
      <c r="A28" s="151"/>
      <c r="B28" s="151"/>
      <c r="C28" s="154" t="s">
        <v>218</v>
      </c>
      <c r="D28" s="158" t="s">
        <v>222</v>
      </c>
      <c r="E28" s="159" t="s">
        <v>223</v>
      </c>
      <c r="F28" s="158" t="s">
        <v>219</v>
      </c>
      <c r="G28" s="152"/>
    </row>
    <row r="29" spans="1:7" ht="25.5" x14ac:dyDescent="0.2">
      <c r="A29" s="151"/>
      <c r="B29" s="151"/>
      <c r="C29" s="154" t="s">
        <v>215</v>
      </c>
      <c r="D29" s="161" t="s">
        <v>224</v>
      </c>
      <c r="E29" s="155">
        <v>1.1000000000000001</v>
      </c>
      <c r="F29" s="151">
        <f>ROUND(((8.74+2.6+2.85+3.95+4.15+8.8+2.9+2.9)*1.1),2)</f>
        <v>40.58</v>
      </c>
      <c r="G29" s="152"/>
    </row>
    <row r="30" spans="1:7" x14ac:dyDescent="0.2">
      <c r="A30" s="151"/>
      <c r="B30" s="151"/>
      <c r="C30" s="154" t="s">
        <v>216</v>
      </c>
      <c r="D30" s="158" t="s">
        <v>225</v>
      </c>
      <c r="E30" s="155">
        <v>1.1000000000000001</v>
      </c>
      <c r="F30" s="155">
        <f>ROUND(((15.15+1.35)*1.1),2)</f>
        <v>18.149999999999999</v>
      </c>
      <c r="G30" s="152"/>
    </row>
    <row r="31" spans="1:7" x14ac:dyDescent="0.2">
      <c r="A31" s="151"/>
      <c r="B31" s="151"/>
      <c r="C31" s="154" t="s">
        <v>217</v>
      </c>
      <c r="D31" s="158" t="s">
        <v>226</v>
      </c>
      <c r="E31" s="155">
        <v>1.1000000000000001</v>
      </c>
      <c r="F31" s="155">
        <f>ROUND(((9.3+5.93+7.7+3.95)*1.1),2)</f>
        <v>29.57</v>
      </c>
      <c r="G31" s="152"/>
    </row>
    <row r="32" spans="1:7" x14ac:dyDescent="0.2">
      <c r="A32" s="151"/>
      <c r="B32" s="151"/>
      <c r="C32" s="154" t="s">
        <v>236</v>
      </c>
      <c r="D32" s="151">
        <v>15.45</v>
      </c>
      <c r="E32" s="155">
        <v>1.1000000000000001</v>
      </c>
      <c r="F32" s="155">
        <f>ROUND(((15.45)*1.1),2)</f>
        <v>17</v>
      </c>
      <c r="G32" s="152"/>
    </row>
    <row r="33" spans="1:7" x14ac:dyDescent="0.2">
      <c r="A33" s="151"/>
      <c r="B33" s="151"/>
      <c r="C33" s="154" t="s">
        <v>221</v>
      </c>
      <c r="D33" s="151"/>
      <c r="E33" s="155"/>
      <c r="F33" s="151">
        <f>SUM(F29:F32)</f>
        <v>105.3</v>
      </c>
      <c r="G33" s="152"/>
    </row>
    <row r="34" spans="1:7" x14ac:dyDescent="0.2">
      <c r="A34" s="151"/>
      <c r="B34" s="151"/>
      <c r="C34" s="156"/>
      <c r="D34" s="151"/>
      <c r="E34" s="155"/>
      <c r="F34" s="151"/>
      <c r="G34" s="152"/>
    </row>
    <row r="35" spans="1:7" s="139" customFormat="1" ht="25.5" x14ac:dyDescent="0.2">
      <c r="A35" s="181" t="str">
        <f>Planilha!A17</f>
        <v>1.4</v>
      </c>
      <c r="B35" s="181" t="str">
        <f>Planilha!B17</f>
        <v>03.03.040</v>
      </c>
      <c r="C35" s="182" t="str">
        <f>Planilha!C17</f>
        <v>Demolição manual de revestimento em massa de parede ou teto (textura grafiato)</v>
      </c>
      <c r="D35" s="181" t="str">
        <f>Planilha!D17</f>
        <v>m²</v>
      </c>
      <c r="E35" s="183">
        <f>F42</f>
        <v>220.16</v>
      </c>
      <c r="F35" s="181"/>
      <c r="G35" s="190"/>
    </row>
    <row r="36" spans="1:7" x14ac:dyDescent="0.2">
      <c r="A36" s="151"/>
      <c r="B36" s="151"/>
      <c r="C36" s="156"/>
      <c r="D36" s="151"/>
      <c r="E36" s="155"/>
      <c r="F36" s="151"/>
      <c r="G36" s="152"/>
    </row>
    <row r="37" spans="1:7" x14ac:dyDescent="0.2">
      <c r="A37" s="151"/>
      <c r="B37" s="151"/>
      <c r="C37" s="154" t="s">
        <v>218</v>
      </c>
      <c r="D37" s="158" t="s">
        <v>222</v>
      </c>
      <c r="E37" s="159" t="s">
        <v>223</v>
      </c>
      <c r="F37" s="158" t="s">
        <v>219</v>
      </c>
      <c r="G37" s="152"/>
    </row>
    <row r="38" spans="1:7" ht="25.5" x14ac:dyDescent="0.2">
      <c r="A38" s="151"/>
      <c r="B38" s="151"/>
      <c r="C38" s="154" t="s">
        <v>215</v>
      </c>
      <c r="D38" s="161" t="s">
        <v>224</v>
      </c>
      <c r="E38" s="155">
        <v>2.2999999999999998</v>
      </c>
      <c r="F38" s="151">
        <f>ROUND(((8.74+2.6+2.85+3.95+4.15+8.8+2.9+2.9)*2.3),2)</f>
        <v>84.85</v>
      </c>
      <c r="G38" s="152"/>
    </row>
    <row r="39" spans="1:7" x14ac:dyDescent="0.2">
      <c r="A39" s="151"/>
      <c r="B39" s="151"/>
      <c r="C39" s="154" t="s">
        <v>216</v>
      </c>
      <c r="D39" s="158" t="s">
        <v>225</v>
      </c>
      <c r="E39" s="155">
        <v>2.2999999999999998</v>
      </c>
      <c r="F39" s="155">
        <f>ROUND(((15.15+1.35)*2.3),2)</f>
        <v>37.950000000000003</v>
      </c>
      <c r="G39" s="152"/>
    </row>
    <row r="40" spans="1:7" x14ac:dyDescent="0.2">
      <c r="A40" s="151"/>
      <c r="B40" s="151"/>
      <c r="C40" s="154" t="s">
        <v>217</v>
      </c>
      <c r="D40" s="158" t="s">
        <v>226</v>
      </c>
      <c r="E40" s="155">
        <v>2.2999999999999998</v>
      </c>
      <c r="F40" s="155">
        <f>ROUND(((9.3+5.93+7.7+3.95)*2.3),2)</f>
        <v>61.82</v>
      </c>
      <c r="G40" s="152"/>
    </row>
    <row r="41" spans="1:7" x14ac:dyDescent="0.2">
      <c r="A41" s="151"/>
      <c r="B41" s="151"/>
      <c r="C41" s="154" t="s">
        <v>236</v>
      </c>
      <c r="D41" s="151">
        <v>15.45</v>
      </c>
      <c r="E41" s="155">
        <v>2.2999999999999998</v>
      </c>
      <c r="F41" s="155">
        <f>ROUND(((15.45)*2.3),2)</f>
        <v>35.54</v>
      </c>
      <c r="G41" s="152"/>
    </row>
    <row r="42" spans="1:7" x14ac:dyDescent="0.2">
      <c r="A42" s="151"/>
      <c r="B42" s="151"/>
      <c r="C42" s="154" t="s">
        <v>221</v>
      </c>
      <c r="D42" s="151"/>
      <c r="E42" s="155"/>
      <c r="F42" s="151">
        <f>SUM(F38:F41)</f>
        <v>220.16</v>
      </c>
      <c r="G42" s="152"/>
    </row>
    <row r="43" spans="1:7" x14ac:dyDescent="0.2">
      <c r="A43" s="151"/>
      <c r="B43" s="151"/>
      <c r="C43" s="156"/>
      <c r="D43" s="151"/>
      <c r="E43" s="155"/>
      <c r="F43" s="151"/>
      <c r="G43" s="152"/>
    </row>
    <row r="44" spans="1:7" s="139" customFormat="1" x14ac:dyDescent="0.2">
      <c r="A44" s="181" t="str">
        <f>Planilha!A18</f>
        <v>1.5</v>
      </c>
      <c r="B44" s="181" t="str">
        <f>Planilha!B18</f>
        <v>04.09.020</v>
      </c>
      <c r="C44" s="182" t="str">
        <f>Planilha!C18</f>
        <v>Retirada de esquadria em geral</v>
      </c>
      <c r="D44" s="181" t="str">
        <f>Planilha!D18</f>
        <v>m²</v>
      </c>
      <c r="E44" s="183">
        <f>13*1.5*1.5</f>
        <v>29.25</v>
      </c>
      <c r="F44" s="181"/>
      <c r="G44" s="190"/>
    </row>
    <row r="45" spans="1:7" x14ac:dyDescent="0.2">
      <c r="A45" s="151"/>
      <c r="B45" s="151"/>
      <c r="C45" s="156"/>
      <c r="D45" s="151"/>
      <c r="E45" s="155"/>
      <c r="F45" s="151"/>
      <c r="G45" s="152"/>
    </row>
    <row r="46" spans="1:7" x14ac:dyDescent="0.2">
      <c r="A46" s="151"/>
      <c r="B46" s="151"/>
      <c r="C46" s="154" t="s">
        <v>227</v>
      </c>
      <c r="D46" s="151"/>
      <c r="E46" s="155"/>
      <c r="F46" s="151"/>
      <c r="G46" s="152"/>
    </row>
    <row r="47" spans="1:7" x14ac:dyDescent="0.2">
      <c r="A47" s="151"/>
      <c r="B47" s="151"/>
      <c r="C47" s="156"/>
      <c r="D47" s="151"/>
      <c r="E47" s="155"/>
      <c r="F47" s="151"/>
      <c r="G47" s="152"/>
    </row>
    <row r="48" spans="1:7" x14ac:dyDescent="0.2">
      <c r="A48" s="151"/>
      <c r="B48" s="151"/>
      <c r="C48" s="156"/>
      <c r="D48" s="151"/>
      <c r="E48" s="155"/>
      <c r="F48" s="151"/>
      <c r="G48" s="152"/>
    </row>
    <row r="49" spans="1:7" x14ac:dyDescent="0.2">
      <c r="A49" s="151"/>
      <c r="B49" s="151"/>
      <c r="C49" s="156"/>
      <c r="D49" s="151"/>
      <c r="E49" s="155"/>
      <c r="F49" s="151"/>
      <c r="G49" s="152"/>
    </row>
    <row r="50" spans="1:7" x14ac:dyDescent="0.2">
      <c r="A50" s="151"/>
      <c r="B50" s="151"/>
      <c r="C50" s="156"/>
      <c r="D50" s="151"/>
      <c r="E50" s="155"/>
      <c r="F50" s="151"/>
      <c r="G50" s="152"/>
    </row>
    <row r="51" spans="1:7" s="139" customFormat="1" x14ac:dyDescent="0.2">
      <c r="A51" s="181" t="str">
        <f>Planilha!A19</f>
        <v>1.6</v>
      </c>
      <c r="B51" s="181" t="str">
        <f>Planilha!B19</f>
        <v>04.09.040</v>
      </c>
      <c r="C51" s="182" t="str">
        <f>Planilha!C19</f>
        <v>Retirada de folha de esquadria metálica</v>
      </c>
      <c r="D51" s="181" t="str">
        <f>Planilha!D19</f>
        <v>un</v>
      </c>
      <c r="E51" s="183">
        <f>2*2.6</f>
        <v>5.2</v>
      </c>
      <c r="F51" s="181"/>
      <c r="G51" s="190"/>
    </row>
    <row r="52" spans="1:7" x14ac:dyDescent="0.2">
      <c r="A52" s="151"/>
      <c r="B52" s="151"/>
      <c r="C52" s="156"/>
      <c r="D52" s="151"/>
      <c r="E52" s="155"/>
      <c r="F52" s="151"/>
      <c r="G52" s="152"/>
    </row>
    <row r="53" spans="1:7" x14ac:dyDescent="0.2">
      <c r="A53" s="151"/>
      <c r="B53" s="151"/>
      <c r="C53" s="154" t="s">
        <v>229</v>
      </c>
      <c r="D53" s="151"/>
      <c r="E53" s="155"/>
      <c r="F53" s="151"/>
      <c r="G53" s="152"/>
    </row>
    <row r="54" spans="1:7" x14ac:dyDescent="0.2">
      <c r="A54" s="151"/>
      <c r="B54" s="151"/>
      <c r="C54" s="156"/>
      <c r="D54" s="151"/>
      <c r="E54" s="155"/>
      <c r="F54" s="151"/>
      <c r="G54" s="152"/>
    </row>
    <row r="55" spans="1:7" x14ac:dyDescent="0.2">
      <c r="A55" s="151"/>
      <c r="B55" s="151"/>
      <c r="C55" s="154"/>
      <c r="D55" s="151"/>
      <c r="E55" s="155"/>
      <c r="F55" s="151"/>
      <c r="G55" s="152"/>
    </row>
    <row r="56" spans="1:7" x14ac:dyDescent="0.2">
      <c r="A56" s="151"/>
      <c r="B56" s="151"/>
      <c r="C56" s="156"/>
      <c r="D56" s="151"/>
      <c r="E56" s="155"/>
      <c r="F56" s="151"/>
      <c r="G56" s="152"/>
    </row>
    <row r="57" spans="1:7" s="139" customFormat="1" x14ac:dyDescent="0.2">
      <c r="A57" s="181">
        <f>Planilha!A21</f>
        <v>2</v>
      </c>
      <c r="B57" s="181"/>
      <c r="C57" s="182" t="str">
        <f>Planilha!C21</f>
        <v>Revitalização da escada de madeira</v>
      </c>
      <c r="D57" s="181"/>
      <c r="E57" s="183"/>
      <c r="F57" s="181"/>
      <c r="G57" s="190"/>
    </row>
    <row r="58" spans="1:7" s="139" customFormat="1" x14ac:dyDescent="0.2">
      <c r="A58" s="181" t="str">
        <f>Planilha!A22</f>
        <v>2.1</v>
      </c>
      <c r="B58" s="181" t="str">
        <f>Planilha!B22</f>
        <v>cotação</v>
      </c>
      <c r="C58" s="182" t="str">
        <f>Planilha!C22</f>
        <v>Revitalização da escada de madeira</v>
      </c>
      <c r="D58" s="181" t="str">
        <f>Planilha!D22</f>
        <v>m²</v>
      </c>
      <c r="E58" s="183">
        <f>Planilha!E22</f>
        <v>4.9000000000000004</v>
      </c>
      <c r="F58" s="181"/>
      <c r="G58" s="190"/>
    </row>
    <row r="59" spans="1:7" x14ac:dyDescent="0.2">
      <c r="A59" s="180"/>
      <c r="B59" s="180"/>
      <c r="C59" s="184"/>
      <c r="D59" s="180"/>
      <c r="E59" s="185"/>
      <c r="F59" s="151"/>
      <c r="G59" s="152"/>
    </row>
    <row r="60" spans="1:7" x14ac:dyDescent="0.2">
      <c r="A60" s="180"/>
      <c r="B60" s="180"/>
      <c r="C60" s="184"/>
      <c r="D60" s="180"/>
      <c r="E60" s="185"/>
      <c r="F60" s="151"/>
      <c r="G60" s="152"/>
    </row>
    <row r="61" spans="1:7" x14ac:dyDescent="0.2">
      <c r="A61" s="180"/>
      <c r="B61" s="180"/>
      <c r="C61" s="184"/>
      <c r="D61" s="180"/>
      <c r="E61" s="185"/>
      <c r="F61" s="151"/>
      <c r="G61" s="152"/>
    </row>
    <row r="62" spans="1:7" x14ac:dyDescent="0.2">
      <c r="A62" s="180"/>
      <c r="B62" s="180"/>
      <c r="C62" s="184"/>
      <c r="D62" s="180"/>
      <c r="E62" s="185"/>
      <c r="F62" s="151"/>
      <c r="G62" s="152"/>
    </row>
    <row r="63" spans="1:7" x14ac:dyDescent="0.2">
      <c r="A63" s="180"/>
      <c r="B63" s="180"/>
      <c r="C63" s="184"/>
      <c r="D63" s="180"/>
      <c r="E63" s="185"/>
      <c r="F63" s="151"/>
      <c r="G63" s="152"/>
    </row>
    <row r="64" spans="1:7" s="139" customFormat="1" x14ac:dyDescent="0.2">
      <c r="A64" s="181">
        <f>Planilha!A24</f>
        <v>3</v>
      </c>
      <c r="B64" s="181"/>
      <c r="C64" s="182" t="str">
        <f>Planilha!C24</f>
        <v>Revestimento</v>
      </c>
      <c r="D64" s="181"/>
      <c r="E64" s="183"/>
      <c r="F64" s="181"/>
      <c r="G64" s="190"/>
    </row>
    <row r="65" spans="1:7" s="139" customFormat="1" x14ac:dyDescent="0.2">
      <c r="A65" s="181" t="str">
        <f>Planilha!A25</f>
        <v>3.1</v>
      </c>
      <c r="B65" s="181" t="str">
        <f>Planilha!B25</f>
        <v>17.02.020</v>
      </c>
      <c r="C65" s="182" t="str">
        <f>Planilha!C25</f>
        <v>Chapisco</v>
      </c>
      <c r="D65" s="181" t="str">
        <f>Planilha!D25</f>
        <v>m²</v>
      </c>
      <c r="E65" s="183">
        <f>D69</f>
        <v>325.45999999999998</v>
      </c>
      <c r="F65" s="181"/>
      <c r="G65" s="190"/>
    </row>
    <row r="66" spans="1:7" x14ac:dyDescent="0.2">
      <c r="A66" s="151"/>
      <c r="B66" s="151"/>
      <c r="C66" s="154" t="s">
        <v>228</v>
      </c>
      <c r="D66" s="151"/>
      <c r="E66" s="155"/>
      <c r="F66" s="151"/>
      <c r="G66" s="152"/>
    </row>
    <row r="67" spans="1:7" x14ac:dyDescent="0.2">
      <c r="A67" s="151"/>
      <c r="B67" s="151"/>
      <c r="C67" s="154" t="s">
        <v>41</v>
      </c>
      <c r="D67" s="155">
        <f>E26</f>
        <v>105.3</v>
      </c>
      <c r="E67" s="155"/>
      <c r="F67" s="151"/>
      <c r="G67" s="152"/>
    </row>
    <row r="68" spans="1:7" x14ac:dyDescent="0.2">
      <c r="A68" s="151"/>
      <c r="B68" s="151"/>
      <c r="C68" s="154" t="s">
        <v>47</v>
      </c>
      <c r="D68" s="155">
        <f>E35</f>
        <v>220.16</v>
      </c>
      <c r="E68" s="155"/>
      <c r="F68" s="151"/>
      <c r="G68" s="152"/>
    </row>
    <row r="69" spans="1:7" x14ac:dyDescent="0.2">
      <c r="A69" s="151"/>
      <c r="B69" s="151"/>
      <c r="C69" s="154" t="s">
        <v>221</v>
      </c>
      <c r="D69" s="155">
        <f>SUM(D67:D68)</f>
        <v>325.45999999999998</v>
      </c>
      <c r="E69" s="155"/>
      <c r="F69" s="151"/>
      <c r="G69" s="152"/>
    </row>
    <row r="70" spans="1:7" x14ac:dyDescent="0.2">
      <c r="A70" s="151"/>
      <c r="B70" s="151"/>
      <c r="C70" s="156"/>
      <c r="D70" s="151"/>
      <c r="E70" s="155"/>
      <c r="F70" s="151"/>
      <c r="G70" s="152"/>
    </row>
    <row r="71" spans="1:7" s="139" customFormat="1" x14ac:dyDescent="0.2">
      <c r="A71" s="181" t="str">
        <f>Planilha!A26</f>
        <v>3.2</v>
      </c>
      <c r="B71" s="181" t="str">
        <f>Planilha!B26</f>
        <v>17.02.120</v>
      </c>
      <c r="C71" s="182" t="str">
        <f>Planilha!C26</f>
        <v>Emboço comum</v>
      </c>
      <c r="D71" s="181" t="str">
        <f>Planilha!D26</f>
        <v>m²</v>
      </c>
      <c r="E71" s="183">
        <f>D75</f>
        <v>325.45999999999998</v>
      </c>
      <c r="F71" s="181"/>
      <c r="G71" s="190"/>
    </row>
    <row r="72" spans="1:7" x14ac:dyDescent="0.2">
      <c r="A72" s="151"/>
      <c r="B72" s="151"/>
      <c r="C72" s="154" t="s">
        <v>228</v>
      </c>
      <c r="D72" s="151"/>
      <c r="E72" s="155"/>
      <c r="F72" s="151"/>
      <c r="G72" s="152"/>
    </row>
    <row r="73" spans="1:7" x14ac:dyDescent="0.2">
      <c r="A73" s="151"/>
      <c r="B73" s="151"/>
      <c r="C73" s="154" t="s">
        <v>41</v>
      </c>
      <c r="D73" s="155">
        <f>E26</f>
        <v>105.3</v>
      </c>
      <c r="E73" s="155"/>
      <c r="F73" s="151"/>
      <c r="G73" s="152"/>
    </row>
    <row r="74" spans="1:7" x14ac:dyDescent="0.2">
      <c r="A74" s="151"/>
      <c r="B74" s="151"/>
      <c r="C74" s="154" t="s">
        <v>47</v>
      </c>
      <c r="D74" s="155">
        <f>E35</f>
        <v>220.16</v>
      </c>
      <c r="E74" s="155"/>
      <c r="F74" s="151"/>
      <c r="G74" s="152"/>
    </row>
    <row r="75" spans="1:7" x14ac:dyDescent="0.2">
      <c r="A75" s="151"/>
      <c r="B75" s="151"/>
      <c r="C75" s="154" t="s">
        <v>221</v>
      </c>
      <c r="D75" s="155">
        <f>SUM(D73:D74)</f>
        <v>325.45999999999998</v>
      </c>
      <c r="E75" s="155"/>
      <c r="F75" s="151"/>
      <c r="G75" s="152"/>
    </row>
    <row r="76" spans="1:7" x14ac:dyDescent="0.2">
      <c r="A76" s="151"/>
      <c r="B76" s="151"/>
      <c r="C76" s="156"/>
      <c r="D76" s="151"/>
      <c r="E76" s="155"/>
      <c r="F76" s="151"/>
      <c r="G76" s="152"/>
    </row>
    <row r="77" spans="1:7" s="139" customFormat="1" ht="25.5" x14ac:dyDescent="0.2">
      <c r="A77" s="181" t="str">
        <f>Planilha!A27</f>
        <v>3.3</v>
      </c>
      <c r="B77" s="181" t="str">
        <f>Planilha!B27</f>
        <v>33.10.100</v>
      </c>
      <c r="C77" s="182" t="str">
        <f>Planilha!C27</f>
        <v>Textura acrílica para uso interno / externo, inclusive preparo</v>
      </c>
      <c r="D77" s="181" t="str">
        <f>Planilha!D27</f>
        <v>m²</v>
      </c>
      <c r="E77" s="183">
        <f>D81</f>
        <v>325.45999999999998</v>
      </c>
      <c r="F77" s="181"/>
      <c r="G77" s="190"/>
    </row>
    <row r="78" spans="1:7" x14ac:dyDescent="0.2">
      <c r="A78" s="151"/>
      <c r="B78" s="151"/>
      <c r="C78" s="154" t="s">
        <v>228</v>
      </c>
      <c r="D78" s="155"/>
      <c r="E78" s="155"/>
      <c r="F78" s="151"/>
      <c r="G78" s="152"/>
    </row>
    <row r="79" spans="1:7" x14ac:dyDescent="0.2">
      <c r="A79" s="151"/>
      <c r="B79" s="151"/>
      <c r="C79" s="154" t="s">
        <v>41</v>
      </c>
      <c r="D79" s="155">
        <f>E26</f>
        <v>105.3</v>
      </c>
      <c r="E79" s="155"/>
      <c r="F79" s="151"/>
      <c r="G79" s="152"/>
    </row>
    <row r="80" spans="1:7" x14ac:dyDescent="0.2">
      <c r="A80" s="151"/>
      <c r="B80" s="151"/>
      <c r="C80" s="154" t="s">
        <v>47</v>
      </c>
      <c r="D80" s="155">
        <f>E35</f>
        <v>220.16</v>
      </c>
      <c r="E80" s="155"/>
      <c r="F80" s="151"/>
      <c r="G80" s="152"/>
    </row>
    <row r="81" spans="1:7" ht="13.9" customHeight="1" x14ac:dyDescent="0.2">
      <c r="A81" s="151"/>
      <c r="B81" s="151"/>
      <c r="C81" s="156"/>
      <c r="D81" s="155">
        <f>SUM(D79:D80)</f>
        <v>325.45999999999998</v>
      </c>
      <c r="E81" s="155"/>
      <c r="F81" s="151"/>
      <c r="G81" s="152"/>
    </row>
    <row r="82" spans="1:7" s="139" customFormat="1" x14ac:dyDescent="0.2">
      <c r="A82" s="181">
        <f>Planilha!A29</f>
        <v>4</v>
      </c>
      <c r="B82" s="181"/>
      <c r="C82" s="182" t="str">
        <f>Planilha!C29</f>
        <v>ESQUADRIAS</v>
      </c>
      <c r="D82" s="181"/>
      <c r="E82" s="183"/>
      <c r="F82" s="181"/>
      <c r="G82" s="190"/>
    </row>
    <row r="83" spans="1:7" s="139" customFormat="1" x14ac:dyDescent="0.2">
      <c r="A83" s="181" t="str">
        <f>Planilha!A30</f>
        <v>4.1</v>
      </c>
      <c r="B83" s="181" t="str">
        <f>Planilha!B30</f>
        <v>23.01.050</v>
      </c>
      <c r="C83" s="182" t="str">
        <f>Planilha!C30</f>
        <v>Caixilho em madeira para janelas</v>
      </c>
      <c r="D83" s="181" t="str">
        <f>Planilha!D30</f>
        <v>m²</v>
      </c>
      <c r="E83" s="183">
        <f>1.5*1.5*13</f>
        <v>29.25</v>
      </c>
      <c r="F83" s="181"/>
      <c r="G83" s="190"/>
    </row>
    <row r="84" spans="1:7" x14ac:dyDescent="0.2">
      <c r="A84" s="151"/>
      <c r="B84" s="151"/>
      <c r="C84" s="156"/>
      <c r="D84" s="151"/>
      <c r="E84" s="155"/>
      <c r="F84" s="151"/>
      <c r="G84" s="152"/>
    </row>
    <row r="85" spans="1:7" x14ac:dyDescent="0.2">
      <c r="A85" s="151"/>
      <c r="B85" s="151"/>
      <c r="C85" s="154" t="s">
        <v>227</v>
      </c>
      <c r="D85" s="151"/>
      <c r="E85" s="155"/>
      <c r="F85" s="151"/>
      <c r="G85" s="152"/>
    </row>
    <row r="86" spans="1:7" x14ac:dyDescent="0.2">
      <c r="A86" s="151"/>
      <c r="B86" s="151"/>
      <c r="C86" s="156"/>
      <c r="D86" s="151"/>
      <c r="E86" s="155"/>
      <c r="F86" s="151"/>
      <c r="G86" s="152"/>
    </row>
    <row r="87" spans="1:7" s="139" customFormat="1" x14ac:dyDescent="0.2">
      <c r="A87" s="181" t="str">
        <f>Planilha!A31</f>
        <v>4.2</v>
      </c>
      <c r="B87" s="181" t="str">
        <f>Planilha!B31</f>
        <v>24.01.030</v>
      </c>
      <c r="C87" s="186" t="str">
        <f>Planilha!C31</f>
        <v>Caixilho em ferro basculante, sob medida</v>
      </c>
      <c r="D87" s="181" t="str">
        <f>Planilha!D31</f>
        <v>m²</v>
      </c>
      <c r="E87" s="183">
        <v>16</v>
      </c>
      <c r="F87" s="181"/>
      <c r="G87" s="190"/>
    </row>
    <row r="88" spans="1:7" x14ac:dyDescent="0.2">
      <c r="A88" s="151"/>
      <c r="B88" s="151"/>
      <c r="C88" s="156"/>
      <c r="D88" s="151"/>
      <c r="E88" s="155"/>
      <c r="F88" s="151"/>
      <c r="G88" s="152"/>
    </row>
    <row r="89" spans="1:7" ht="25.5" x14ac:dyDescent="0.2">
      <c r="A89" s="151"/>
      <c r="B89" s="151"/>
      <c r="C89" s="154" t="s">
        <v>285</v>
      </c>
      <c r="D89" s="151"/>
      <c r="E89" s="155"/>
      <c r="F89" s="151"/>
      <c r="G89" s="152"/>
    </row>
    <row r="90" spans="1:7" x14ac:dyDescent="0.2">
      <c r="A90" s="151"/>
      <c r="B90" s="151"/>
      <c r="C90" s="156"/>
      <c r="D90" s="151"/>
      <c r="E90" s="155"/>
      <c r="F90" s="151"/>
      <c r="G90" s="152"/>
    </row>
    <row r="91" spans="1:7" x14ac:dyDescent="0.2">
      <c r="A91" s="151"/>
      <c r="B91" s="151"/>
      <c r="C91" s="156"/>
      <c r="D91" s="151"/>
      <c r="E91" s="155"/>
      <c r="F91" s="151"/>
      <c r="G91" s="152"/>
    </row>
    <row r="92" spans="1:7" x14ac:dyDescent="0.2">
      <c r="A92" s="151"/>
      <c r="B92" s="151"/>
      <c r="C92" s="156"/>
      <c r="D92" s="151"/>
      <c r="E92" s="155"/>
      <c r="F92" s="151"/>
      <c r="G92" s="152"/>
    </row>
    <row r="93" spans="1:7" x14ac:dyDescent="0.2">
      <c r="A93" s="151"/>
      <c r="B93" s="151"/>
      <c r="C93" s="156"/>
      <c r="D93" s="151"/>
      <c r="E93" s="155"/>
      <c r="F93" s="151"/>
      <c r="G93" s="152"/>
    </row>
    <row r="94" spans="1:7" s="139" customFormat="1" x14ac:dyDescent="0.2">
      <c r="A94" s="181" t="str">
        <f>Planilha!A32</f>
        <v>4.3</v>
      </c>
      <c r="B94" s="181" t="str">
        <f>Planilha!B32</f>
        <v>26.01.080</v>
      </c>
      <c r="C94" s="182" t="str">
        <f>Planilha!C32</f>
        <v>Vidro liso transparente de 6 mm</v>
      </c>
      <c r="D94" s="181" t="str">
        <f>Planilha!D32</f>
        <v>m²</v>
      </c>
      <c r="E94" s="183">
        <f>1.5*1.5*13+2*8</f>
        <v>45.25</v>
      </c>
      <c r="F94" s="181"/>
      <c r="G94" s="190"/>
    </row>
    <row r="95" spans="1:7" x14ac:dyDescent="0.2">
      <c r="A95" s="151"/>
      <c r="B95" s="151"/>
      <c r="C95" s="154" t="s">
        <v>230</v>
      </c>
      <c r="D95" s="151"/>
      <c r="E95" s="155"/>
      <c r="F95" s="151"/>
      <c r="G95" s="152"/>
    </row>
    <row r="96" spans="1:7" ht="25.5" x14ac:dyDescent="0.2">
      <c r="A96" s="151"/>
      <c r="B96" s="151"/>
      <c r="C96" s="154" t="s">
        <v>285</v>
      </c>
      <c r="D96" s="151"/>
      <c r="E96" s="155"/>
      <c r="F96" s="151"/>
      <c r="G96" s="152"/>
    </row>
    <row r="97" spans="1:7" x14ac:dyDescent="0.2">
      <c r="A97" s="151"/>
      <c r="B97" s="151"/>
      <c r="C97" s="156"/>
      <c r="D97" s="151"/>
      <c r="E97" s="155"/>
      <c r="F97" s="151"/>
      <c r="G97" s="152"/>
    </row>
    <row r="98" spans="1:7" ht="25.5" x14ac:dyDescent="0.2">
      <c r="A98" s="181" t="str">
        <f>Planilha!A33</f>
        <v>4.4</v>
      </c>
      <c r="B98" s="181" t="str">
        <f>Planilha!B33</f>
        <v>19.01.390</v>
      </c>
      <c r="C98" s="182" t="str">
        <f>Planilha!C33</f>
        <v>Peitoril e/ou soleira em granito, espessura de 2 cm e largura de 21 até 30 cm</v>
      </c>
      <c r="D98" s="181" t="str">
        <f>Planilha!D33</f>
        <v>m</v>
      </c>
      <c r="E98" s="183">
        <f>D101+D102</f>
        <v>35.5</v>
      </c>
      <c r="F98" s="181"/>
      <c r="G98" s="190"/>
    </row>
    <row r="99" spans="1:7" x14ac:dyDescent="0.2">
      <c r="A99" s="151"/>
      <c r="B99" s="151"/>
      <c r="C99" s="156"/>
      <c r="D99" s="151"/>
      <c r="E99" s="155"/>
      <c r="F99" s="151"/>
      <c r="G99" s="152"/>
    </row>
    <row r="100" spans="1:7" x14ac:dyDescent="0.2">
      <c r="A100" s="151"/>
      <c r="B100" s="151"/>
      <c r="C100" s="156"/>
      <c r="D100" s="158" t="s">
        <v>222</v>
      </c>
      <c r="E100" s="155"/>
      <c r="F100" s="151"/>
      <c r="G100" s="152"/>
    </row>
    <row r="101" spans="1:7" x14ac:dyDescent="0.2">
      <c r="A101" s="151"/>
      <c r="B101" s="151"/>
      <c r="C101" s="154" t="s">
        <v>230</v>
      </c>
      <c r="D101" s="151">
        <f>1.5*13</f>
        <v>19.5</v>
      </c>
      <c r="E101" s="155"/>
      <c r="F101" s="151"/>
      <c r="G101" s="152"/>
    </row>
    <row r="102" spans="1:7" ht="25.5" x14ac:dyDescent="0.2">
      <c r="A102" s="151"/>
      <c r="B102" s="151"/>
      <c r="C102" s="154" t="s">
        <v>285</v>
      </c>
      <c r="D102" s="151">
        <f>8*2</f>
        <v>16</v>
      </c>
      <c r="E102" s="155"/>
      <c r="F102" s="151"/>
      <c r="G102" s="152"/>
    </row>
    <row r="103" spans="1:7" x14ac:dyDescent="0.2">
      <c r="A103" s="151"/>
      <c r="B103" s="151"/>
      <c r="C103" s="156"/>
      <c r="D103" s="151"/>
      <c r="E103" s="155"/>
      <c r="F103" s="151"/>
      <c r="G103" s="152"/>
    </row>
    <row r="104" spans="1:7" x14ac:dyDescent="0.2">
      <c r="A104" s="151"/>
      <c r="B104" s="151"/>
      <c r="C104" s="156"/>
      <c r="D104" s="151"/>
      <c r="E104" s="155"/>
      <c r="F104" s="151"/>
      <c r="G104" s="152"/>
    </row>
    <row r="105" spans="1:7" x14ac:dyDescent="0.2">
      <c r="A105" s="151"/>
      <c r="B105" s="151"/>
      <c r="C105" s="156"/>
      <c r="D105" s="151"/>
      <c r="E105" s="155"/>
      <c r="F105" s="151"/>
      <c r="G105" s="152"/>
    </row>
    <row r="106" spans="1:7" x14ac:dyDescent="0.2">
      <c r="A106" s="151"/>
      <c r="B106" s="151"/>
      <c r="C106" s="156"/>
      <c r="D106" s="151"/>
      <c r="E106" s="155"/>
      <c r="F106" s="151"/>
      <c r="G106" s="152"/>
    </row>
    <row r="107" spans="1:7" x14ac:dyDescent="0.2">
      <c r="A107" s="151"/>
      <c r="B107" s="151"/>
      <c r="C107" s="156"/>
      <c r="D107" s="151"/>
      <c r="E107" s="155"/>
      <c r="F107" s="151"/>
      <c r="G107" s="152"/>
    </row>
    <row r="108" spans="1:7" x14ac:dyDescent="0.2">
      <c r="A108" s="151"/>
      <c r="B108" s="151"/>
      <c r="C108" s="156"/>
      <c r="D108" s="151"/>
      <c r="E108" s="155"/>
      <c r="F108" s="151"/>
      <c r="G108" s="152"/>
    </row>
    <row r="109" spans="1:7" x14ac:dyDescent="0.2">
      <c r="A109" s="151"/>
      <c r="B109" s="151"/>
      <c r="C109" s="156"/>
      <c r="D109" s="151"/>
      <c r="E109" s="155"/>
      <c r="F109" s="151"/>
      <c r="G109" s="152"/>
    </row>
    <row r="110" spans="1:7" s="139" customFormat="1" x14ac:dyDescent="0.2">
      <c r="A110" s="181" t="str">
        <f>Planilha!A34</f>
        <v>4.5</v>
      </c>
      <c r="B110" s="181" t="str">
        <f>Planilha!B34</f>
        <v>24.02.010</v>
      </c>
      <c r="C110" s="182" t="str">
        <f>Planilha!C34</f>
        <v>Porta em ferro de abrir, para receber vidro, sob medida</v>
      </c>
      <c r="D110" s="181" t="str">
        <f>Planilha!D34</f>
        <v>m²</v>
      </c>
      <c r="E110" s="183">
        <f>2*2.6+1.2*2.1</f>
        <v>7.7200000000000006</v>
      </c>
      <c r="F110" s="181"/>
      <c r="G110" s="190"/>
    </row>
    <row r="111" spans="1:7" x14ac:dyDescent="0.2">
      <c r="A111" s="151"/>
      <c r="B111" s="151"/>
      <c r="C111" s="156"/>
      <c r="D111" s="151"/>
      <c r="E111" s="155"/>
      <c r="F111" s="151"/>
      <c r="G111" s="152"/>
    </row>
    <row r="112" spans="1:7" x14ac:dyDescent="0.2">
      <c r="A112" s="151"/>
      <c r="B112" s="151"/>
      <c r="C112" s="154" t="s">
        <v>229</v>
      </c>
      <c r="D112" s="151"/>
      <c r="E112" s="155"/>
      <c r="F112" s="151"/>
      <c r="G112" s="152"/>
    </row>
    <row r="113" spans="1:7" x14ac:dyDescent="0.2">
      <c r="A113" s="151"/>
      <c r="B113" s="151"/>
      <c r="C113" s="154" t="s">
        <v>308</v>
      </c>
      <c r="D113" s="151"/>
      <c r="E113" s="155"/>
      <c r="F113" s="151"/>
      <c r="G113" s="152"/>
    </row>
    <row r="114" spans="1:7" x14ac:dyDescent="0.2">
      <c r="A114" s="151"/>
      <c r="B114" s="151"/>
      <c r="C114" s="156"/>
      <c r="D114" s="151"/>
      <c r="E114" s="155"/>
      <c r="F114" s="151"/>
      <c r="G114" s="152"/>
    </row>
    <row r="115" spans="1:7" s="139" customFormat="1" ht="25.5" x14ac:dyDescent="0.2">
      <c r="A115" s="181" t="str">
        <f>Planilha!A35</f>
        <v>4.6</v>
      </c>
      <c r="B115" s="181" t="str">
        <f>Planilha!B35</f>
        <v>28.01.050</v>
      </c>
      <c r="C115" s="182" t="str">
        <f>Planilha!C35</f>
        <v>Ferragem completa com maçaneta tipo alavanca para porta interna com 2 folhas (1ª linha)</v>
      </c>
      <c r="D115" s="181" t="str">
        <f>Planilha!D35</f>
        <v>cj</v>
      </c>
      <c r="E115" s="183">
        <v>1</v>
      </c>
      <c r="F115" s="181"/>
      <c r="G115" s="190"/>
    </row>
    <row r="116" spans="1:7" x14ac:dyDescent="0.2">
      <c r="A116" s="151"/>
      <c r="B116" s="151"/>
      <c r="C116" s="156"/>
      <c r="D116" s="151"/>
      <c r="E116" s="155"/>
      <c r="F116" s="151"/>
      <c r="G116" s="152"/>
    </row>
    <row r="117" spans="1:7" x14ac:dyDescent="0.2">
      <c r="A117" s="151"/>
      <c r="B117" s="151"/>
      <c r="C117" s="156" t="s">
        <v>231</v>
      </c>
      <c r="D117" s="151"/>
      <c r="E117" s="155"/>
      <c r="F117" s="151"/>
      <c r="G117" s="152"/>
    </row>
    <row r="118" spans="1:7" x14ac:dyDescent="0.2">
      <c r="A118" s="151"/>
      <c r="B118" s="151"/>
      <c r="C118" s="156"/>
      <c r="D118" s="151"/>
      <c r="E118" s="155"/>
      <c r="F118" s="151"/>
      <c r="G118" s="152"/>
    </row>
    <row r="119" spans="1:7" s="139" customFormat="1" x14ac:dyDescent="0.2">
      <c r="A119" s="181" t="str">
        <f>Planilha!A36</f>
        <v>4.7</v>
      </c>
      <c r="B119" s="181" t="str">
        <f>Planilha!B36</f>
        <v>23.09.040</v>
      </c>
      <c r="C119" s="182" t="str">
        <f>Planilha!C36</f>
        <v>Porta lisa com batente madeira - 80 x 210 cm</v>
      </c>
      <c r="D119" s="181" t="str">
        <f>Planilha!D36</f>
        <v>un</v>
      </c>
      <c r="E119" s="183">
        <v>1</v>
      </c>
      <c r="F119" s="181"/>
      <c r="G119" s="190"/>
    </row>
    <row r="120" spans="1:7" x14ac:dyDescent="0.2">
      <c r="A120" s="151"/>
      <c r="B120" s="151"/>
      <c r="C120" s="156"/>
      <c r="D120" s="151"/>
      <c r="E120" s="155"/>
      <c r="F120" s="151"/>
      <c r="G120" s="152"/>
    </row>
    <row r="121" spans="1:7" x14ac:dyDescent="0.2">
      <c r="A121" s="151"/>
      <c r="B121" s="151"/>
      <c r="C121" s="154" t="s">
        <v>237</v>
      </c>
      <c r="D121" s="151"/>
      <c r="E121" s="155"/>
      <c r="F121" s="151"/>
      <c r="G121" s="152"/>
    </row>
    <row r="122" spans="1:7" x14ac:dyDescent="0.2">
      <c r="A122" s="151"/>
      <c r="B122" s="151"/>
      <c r="C122" s="154"/>
      <c r="D122" s="151"/>
      <c r="E122" s="155"/>
      <c r="F122" s="151"/>
      <c r="G122" s="152"/>
    </row>
    <row r="123" spans="1:7" x14ac:dyDescent="0.2">
      <c r="A123" s="181" t="str">
        <f>Planilha!A37</f>
        <v>4.8</v>
      </c>
      <c r="B123" s="181" t="str">
        <f>Planilha!B37</f>
        <v>24.02.060</v>
      </c>
      <c r="C123" s="186" t="str">
        <f>Planilha!C37</f>
        <v>Porta/portão de abrir em chapa, sob medida</v>
      </c>
      <c r="D123" s="181" t="str">
        <f>Planilha!D37</f>
        <v>m²</v>
      </c>
      <c r="E123" s="181">
        <f>2.4*2</f>
        <v>4.8</v>
      </c>
      <c r="F123" s="188"/>
      <c r="G123" s="189"/>
    </row>
    <row r="124" spans="1:7" x14ac:dyDescent="0.2">
      <c r="A124" s="151"/>
      <c r="B124" s="151"/>
      <c r="C124" s="154"/>
      <c r="D124" s="151"/>
      <c r="E124" s="155"/>
      <c r="F124" s="151"/>
      <c r="G124" s="152"/>
    </row>
    <row r="125" spans="1:7" x14ac:dyDescent="0.2">
      <c r="A125" s="151"/>
      <c r="B125" s="151"/>
      <c r="C125" s="154" t="s">
        <v>288</v>
      </c>
      <c r="D125" s="151"/>
      <c r="E125" s="155"/>
      <c r="F125" s="151"/>
      <c r="G125" s="152"/>
    </row>
    <row r="126" spans="1:7" x14ac:dyDescent="0.2">
      <c r="A126" s="151"/>
      <c r="B126" s="151"/>
      <c r="C126" s="154"/>
      <c r="D126" s="151"/>
      <c r="E126" s="155"/>
      <c r="F126" s="151"/>
      <c r="G126" s="152"/>
    </row>
    <row r="127" spans="1:7" x14ac:dyDescent="0.2">
      <c r="A127" s="151"/>
      <c r="B127" s="151"/>
      <c r="C127" s="154"/>
      <c r="D127" s="151"/>
      <c r="E127" s="155"/>
      <c r="F127" s="151"/>
      <c r="G127" s="152"/>
    </row>
    <row r="128" spans="1:7" x14ac:dyDescent="0.2">
      <c r="A128" s="151"/>
      <c r="B128" s="151"/>
      <c r="C128" s="154"/>
      <c r="D128" s="151"/>
      <c r="E128" s="155"/>
      <c r="F128" s="151"/>
      <c r="G128" s="152"/>
    </row>
    <row r="129" spans="1:7" x14ac:dyDescent="0.2">
      <c r="A129" s="151"/>
      <c r="B129" s="151"/>
      <c r="C129" s="154"/>
      <c r="D129" s="151"/>
      <c r="E129" s="155"/>
      <c r="F129" s="151"/>
      <c r="G129" s="152"/>
    </row>
    <row r="130" spans="1:7" x14ac:dyDescent="0.2">
      <c r="A130" s="151"/>
      <c r="B130" s="151"/>
      <c r="C130" s="156"/>
      <c r="D130" s="151"/>
      <c r="E130" s="155"/>
      <c r="F130" s="151"/>
      <c r="G130" s="152"/>
    </row>
    <row r="131" spans="1:7" s="139" customFormat="1" ht="25.5" x14ac:dyDescent="0.2">
      <c r="A131" s="181" t="str">
        <f>Planilha!A38</f>
        <v>4.9</v>
      </c>
      <c r="B131" s="181" t="str">
        <f>Planilha!B38</f>
        <v>24.02.054</v>
      </c>
      <c r="C131" s="182" t="str">
        <f>Planilha!C38</f>
        <v>Porta corta-fogo classe P.90, com barra antipânico numa face e maçaneta na outra, completa</v>
      </c>
      <c r="D131" s="181" t="str">
        <f>Planilha!D38</f>
        <v>m²</v>
      </c>
      <c r="E131" s="183">
        <f>2.3*3.4</f>
        <v>7.8199999999999994</v>
      </c>
      <c r="F131" s="181"/>
      <c r="G131" s="190"/>
    </row>
    <row r="132" spans="1:7" x14ac:dyDescent="0.2">
      <c r="A132" s="151"/>
      <c r="B132" s="151"/>
      <c r="C132" s="156"/>
      <c r="D132" s="151"/>
      <c r="E132" s="155"/>
      <c r="F132" s="151"/>
      <c r="G132" s="152"/>
    </row>
    <row r="133" spans="1:7" x14ac:dyDescent="0.2">
      <c r="A133" s="151"/>
      <c r="B133" s="151"/>
      <c r="C133" s="156" t="s">
        <v>232</v>
      </c>
      <c r="D133" s="151"/>
      <c r="E133" s="155"/>
      <c r="F133" s="151"/>
      <c r="G133" s="152"/>
    </row>
    <row r="134" spans="1:7" x14ac:dyDescent="0.2">
      <c r="A134" s="151"/>
      <c r="B134" s="151"/>
      <c r="C134" s="156"/>
      <c r="D134" s="151"/>
      <c r="E134" s="155"/>
      <c r="F134" s="151"/>
      <c r="G134" s="152"/>
    </row>
    <row r="135" spans="1:7" s="139" customFormat="1" x14ac:dyDescent="0.2">
      <c r="A135" s="181">
        <f>Planilha!A40</f>
        <v>5</v>
      </c>
      <c r="B135" s="181"/>
      <c r="C135" s="182" t="str">
        <f>Planilha!C40</f>
        <v>PISO</v>
      </c>
      <c r="D135" s="181"/>
      <c r="E135" s="183"/>
      <c r="F135" s="181"/>
      <c r="G135" s="190"/>
    </row>
    <row r="136" spans="1:7" s="139" customFormat="1" x14ac:dyDescent="0.2">
      <c r="A136" s="181" t="str">
        <f>Planilha!A41</f>
        <v>5.1</v>
      </c>
      <c r="B136" s="181"/>
      <c r="C136" s="182" t="str">
        <f>Planilha!C41</f>
        <v>ÁREA INTERNA</v>
      </c>
      <c r="D136" s="181"/>
      <c r="E136" s="183"/>
      <c r="F136" s="181"/>
      <c r="G136" s="190"/>
    </row>
    <row r="137" spans="1:7" s="139" customFormat="1" ht="51" x14ac:dyDescent="0.2">
      <c r="A137" s="181" t="str">
        <f>Planilha!A42</f>
        <v>5.1.1</v>
      </c>
      <c r="B137" s="181" t="str">
        <f>Planilha!B42</f>
        <v>18.08.090</v>
      </c>
      <c r="C137" s="182" t="str">
        <f>Planilha!C42</f>
        <v>Revestimento em porcelanato esmaltado acetinado para área interna e ambiente com acesso ao exterior, grupo de absorção BIa, resistência química B, assentado com argamassa colante industrializada, rejuntado</v>
      </c>
      <c r="D137" s="181" t="str">
        <f>Planilha!D42</f>
        <v>m²</v>
      </c>
      <c r="E137" s="183">
        <f>D145</f>
        <v>438.45</v>
      </c>
      <c r="F137" s="181"/>
      <c r="G137" s="190"/>
    </row>
    <row r="138" spans="1:7" s="139" customFormat="1" x14ac:dyDescent="0.2">
      <c r="A138" s="147"/>
      <c r="B138" s="147"/>
      <c r="C138" s="150"/>
      <c r="D138" s="147"/>
      <c r="E138" s="153"/>
      <c r="F138" s="147"/>
      <c r="G138" s="157"/>
    </row>
    <row r="139" spans="1:7" s="139" customFormat="1" x14ac:dyDescent="0.2">
      <c r="A139" s="147"/>
      <c r="B139" s="147"/>
      <c r="C139" s="154" t="s">
        <v>218</v>
      </c>
      <c r="D139" s="158" t="s">
        <v>219</v>
      </c>
      <c r="E139" s="153"/>
      <c r="F139" s="147"/>
      <c r="G139" s="157"/>
    </row>
    <row r="140" spans="1:7" s="139" customFormat="1" x14ac:dyDescent="0.2">
      <c r="A140" s="147"/>
      <c r="B140" s="147"/>
      <c r="C140" s="154" t="s">
        <v>215</v>
      </c>
      <c r="D140" s="151">
        <v>58.61</v>
      </c>
      <c r="E140" s="153"/>
      <c r="F140" s="147"/>
      <c r="G140" s="157"/>
    </row>
    <row r="141" spans="1:7" s="139" customFormat="1" x14ac:dyDescent="0.2">
      <c r="A141" s="147"/>
      <c r="B141" s="147"/>
      <c r="C141" s="154" t="s">
        <v>216</v>
      </c>
      <c r="D141" s="151">
        <v>18.600000000000001</v>
      </c>
      <c r="E141" s="153"/>
      <c r="F141" s="147"/>
      <c r="G141" s="157"/>
    </row>
    <row r="142" spans="1:7" s="139" customFormat="1" x14ac:dyDescent="0.2">
      <c r="A142" s="147"/>
      <c r="B142" s="147"/>
      <c r="C142" s="154" t="s">
        <v>217</v>
      </c>
      <c r="D142" s="151">
        <v>55.53</v>
      </c>
      <c r="E142" s="153"/>
      <c r="F142" s="147"/>
      <c r="G142" s="157"/>
    </row>
    <row r="143" spans="1:7" s="139" customFormat="1" x14ac:dyDescent="0.2">
      <c r="A143" s="147"/>
      <c r="B143" s="147"/>
      <c r="C143" s="154" t="s">
        <v>236</v>
      </c>
      <c r="D143" s="151">
        <v>15.82</v>
      </c>
      <c r="E143" s="153"/>
      <c r="F143" s="147"/>
      <c r="G143" s="157"/>
    </row>
    <row r="144" spans="1:7" s="139" customFormat="1" x14ac:dyDescent="0.2">
      <c r="A144" s="147"/>
      <c r="B144" s="147"/>
      <c r="C144" s="154" t="s">
        <v>220</v>
      </c>
      <c r="D144" s="151">
        <v>289.89</v>
      </c>
      <c r="E144" s="153"/>
      <c r="F144" s="147"/>
      <c r="G144" s="157"/>
    </row>
    <row r="145" spans="1:7" s="139" customFormat="1" x14ac:dyDescent="0.2">
      <c r="A145" s="147"/>
      <c r="B145" s="147"/>
      <c r="C145" s="150" t="s">
        <v>7</v>
      </c>
      <c r="D145" s="147">
        <f>SUM(D140:D144)</f>
        <v>438.45</v>
      </c>
      <c r="E145" s="153"/>
      <c r="F145" s="147"/>
      <c r="G145" s="157"/>
    </row>
    <row r="146" spans="1:7" s="139" customFormat="1" x14ac:dyDescent="0.2">
      <c r="A146" s="147"/>
      <c r="B146" s="147"/>
      <c r="C146" s="150"/>
      <c r="D146" s="147"/>
      <c r="E146" s="153"/>
      <c r="F146" s="147"/>
      <c r="G146" s="157"/>
    </row>
    <row r="147" spans="1:7" s="139" customFormat="1" x14ac:dyDescent="0.2">
      <c r="A147" s="147"/>
      <c r="B147" s="147"/>
      <c r="C147" s="150"/>
      <c r="D147" s="147"/>
      <c r="E147" s="153"/>
      <c r="F147" s="147"/>
      <c r="G147" s="157"/>
    </row>
    <row r="148" spans="1:7" s="139" customFormat="1" x14ac:dyDescent="0.2">
      <c r="A148" s="147"/>
      <c r="B148" s="147"/>
      <c r="C148" s="150"/>
      <c r="D148" s="147"/>
      <c r="E148" s="153"/>
      <c r="F148" s="147"/>
      <c r="G148" s="157"/>
    </row>
    <row r="149" spans="1:7" s="139" customFormat="1" ht="51" x14ac:dyDescent="0.2">
      <c r="A149" s="181" t="str">
        <f>Planilha!A43</f>
        <v>5.1.2</v>
      </c>
      <c r="B149" s="181" t="str">
        <f>Planilha!B43</f>
        <v>18.08.100</v>
      </c>
      <c r="C149" s="182" t="str">
        <f>Planilha!C43</f>
        <v>Rodapé em porcelanato esmaltado acetinado para área interna e ambiente com acesso ao exterior, grupo de absorção BIa, resistência química B, assentado com argamassa colante industrializada, rejuntado</v>
      </c>
      <c r="D149" s="181" t="str">
        <f>Planilha!D43</f>
        <v>m</v>
      </c>
      <c r="E149" s="183">
        <f>E157</f>
        <v>165.12</v>
      </c>
      <c r="F149" s="181"/>
      <c r="G149" s="190"/>
    </row>
    <row r="150" spans="1:7" x14ac:dyDescent="0.2">
      <c r="A150" s="151"/>
      <c r="B150" s="151"/>
      <c r="C150" s="156"/>
      <c r="D150" s="151"/>
      <c r="E150" s="155"/>
      <c r="F150" s="151"/>
      <c r="G150" s="152"/>
    </row>
    <row r="151" spans="1:7" x14ac:dyDescent="0.2">
      <c r="A151" s="151"/>
      <c r="B151" s="151"/>
      <c r="C151" s="154" t="s">
        <v>218</v>
      </c>
      <c r="D151" s="158" t="s">
        <v>222</v>
      </c>
      <c r="E151" s="159" t="s">
        <v>7</v>
      </c>
      <c r="F151" s="151"/>
      <c r="G151" s="152"/>
    </row>
    <row r="152" spans="1:7" ht="25.5" x14ac:dyDescent="0.2">
      <c r="A152" s="151"/>
      <c r="B152" s="151"/>
      <c r="C152" s="154" t="s">
        <v>215</v>
      </c>
      <c r="D152" s="161" t="s">
        <v>224</v>
      </c>
      <c r="E152" s="155">
        <f>8.74+2.6+2.85+3.95+4.15+8.8+2.9+2.9</f>
        <v>36.89</v>
      </c>
      <c r="F152" s="151"/>
      <c r="G152" s="152"/>
    </row>
    <row r="153" spans="1:7" x14ac:dyDescent="0.2">
      <c r="A153" s="151"/>
      <c r="B153" s="151"/>
      <c r="C153" s="154" t="s">
        <v>216</v>
      </c>
      <c r="D153" s="158" t="s">
        <v>225</v>
      </c>
      <c r="E153" s="155">
        <f>15.15+1.35</f>
        <v>16.5</v>
      </c>
      <c r="F153" s="151"/>
      <c r="G153" s="152"/>
    </row>
    <row r="154" spans="1:7" x14ac:dyDescent="0.2">
      <c r="A154" s="151"/>
      <c r="B154" s="151"/>
      <c r="C154" s="154" t="s">
        <v>217</v>
      </c>
      <c r="D154" s="158" t="s">
        <v>226</v>
      </c>
      <c r="E154" s="155">
        <f>9.3+5.93+7.7+3.95</f>
        <v>26.88</v>
      </c>
      <c r="F154" s="151"/>
      <c r="G154" s="152"/>
    </row>
    <row r="155" spans="1:7" x14ac:dyDescent="0.2">
      <c r="A155" s="151"/>
      <c r="B155" s="151"/>
      <c r="C155" s="154" t="s">
        <v>236</v>
      </c>
      <c r="D155" s="151">
        <v>15.45</v>
      </c>
      <c r="E155" s="155">
        <f>D155</f>
        <v>15.45</v>
      </c>
      <c r="F155" s="151"/>
      <c r="G155" s="152"/>
    </row>
    <row r="156" spans="1:7" x14ac:dyDescent="0.2">
      <c r="A156" s="151"/>
      <c r="B156" s="151"/>
      <c r="C156" s="154" t="s">
        <v>234</v>
      </c>
      <c r="D156" s="158" t="s">
        <v>233</v>
      </c>
      <c r="E156" s="155">
        <f>50.6+18.8</f>
        <v>69.400000000000006</v>
      </c>
      <c r="F156" s="151"/>
      <c r="G156" s="152"/>
    </row>
    <row r="157" spans="1:7" x14ac:dyDescent="0.2">
      <c r="A157" s="151"/>
      <c r="B157" s="151"/>
      <c r="C157" s="156"/>
      <c r="D157" s="159" t="s">
        <v>7</v>
      </c>
      <c r="E157" s="155">
        <f>SUM(E152:E156)</f>
        <v>165.12</v>
      </c>
      <c r="F157" s="151"/>
      <c r="G157" s="152"/>
    </row>
    <row r="158" spans="1:7" x14ac:dyDescent="0.2">
      <c r="A158" s="151"/>
      <c r="B158" s="151"/>
      <c r="C158" s="156"/>
      <c r="D158" s="151"/>
      <c r="E158" s="155"/>
      <c r="F158" s="151"/>
      <c r="G158" s="152"/>
    </row>
    <row r="159" spans="1:7" s="139" customFormat="1" ht="25.5" x14ac:dyDescent="0.2">
      <c r="A159" s="181" t="str">
        <f>Planilha!A44</f>
        <v>5.1.3</v>
      </c>
      <c r="B159" s="181" t="str">
        <f>Planilha!B44</f>
        <v>COTAÇÃO</v>
      </c>
      <c r="C159" s="182" t="str">
        <f>Planilha!C44</f>
        <v>Raspagem com calafetação, lixamento e aplicação de verniz sinteco (Piso superior)</v>
      </c>
      <c r="D159" s="181" t="str">
        <f>Planilha!D44</f>
        <v>m²</v>
      </c>
      <c r="E159" s="183">
        <f>D167</f>
        <v>123.01</v>
      </c>
      <c r="F159" s="181"/>
      <c r="G159" s="190"/>
    </row>
    <row r="160" spans="1:7" x14ac:dyDescent="0.2">
      <c r="A160" s="180"/>
      <c r="B160" s="180"/>
      <c r="C160" s="184"/>
      <c r="D160" s="180"/>
      <c r="E160" s="185"/>
      <c r="F160" s="151"/>
      <c r="G160" s="152"/>
    </row>
    <row r="161" spans="1:7" x14ac:dyDescent="0.2">
      <c r="A161" s="180"/>
      <c r="B161" s="180"/>
      <c r="C161" s="175" t="s">
        <v>218</v>
      </c>
      <c r="D161" s="187" t="s">
        <v>219</v>
      </c>
      <c r="E161" s="185"/>
      <c r="F161" s="151"/>
      <c r="G161" s="152"/>
    </row>
    <row r="162" spans="1:7" x14ac:dyDescent="0.2">
      <c r="A162" s="180"/>
      <c r="B162" s="180"/>
      <c r="C162" s="175" t="s">
        <v>235</v>
      </c>
      <c r="D162" s="180">
        <v>6.5</v>
      </c>
      <c r="E162" s="185"/>
      <c r="F162" s="151"/>
      <c r="G162" s="152"/>
    </row>
    <row r="163" spans="1:7" x14ac:dyDescent="0.2">
      <c r="A163" s="180"/>
      <c r="B163" s="180"/>
      <c r="C163" s="175" t="s">
        <v>238</v>
      </c>
      <c r="D163" s="180">
        <v>18.600000000000001</v>
      </c>
      <c r="E163" s="185"/>
      <c r="F163" s="151"/>
      <c r="G163" s="152"/>
    </row>
    <row r="164" spans="1:7" x14ac:dyDescent="0.2">
      <c r="A164" s="180"/>
      <c r="B164" s="180"/>
      <c r="C164" s="175" t="s">
        <v>239</v>
      </c>
      <c r="D164" s="180">
        <v>32.33</v>
      </c>
      <c r="E164" s="185"/>
      <c r="F164" s="151"/>
      <c r="G164" s="152"/>
    </row>
    <row r="165" spans="1:7" x14ac:dyDescent="0.2">
      <c r="A165" s="180"/>
      <c r="B165" s="180"/>
      <c r="C165" s="175" t="s">
        <v>240</v>
      </c>
      <c r="D165" s="180">
        <v>55.53</v>
      </c>
      <c r="E165" s="185"/>
      <c r="F165" s="151"/>
      <c r="G165" s="152"/>
    </row>
    <row r="166" spans="1:7" x14ac:dyDescent="0.2">
      <c r="A166" s="180"/>
      <c r="B166" s="180"/>
      <c r="C166" s="175" t="s">
        <v>241</v>
      </c>
      <c r="D166" s="180">
        <v>10.050000000000001</v>
      </c>
      <c r="E166" s="185"/>
      <c r="F166" s="151"/>
      <c r="G166" s="152"/>
    </row>
    <row r="167" spans="1:7" x14ac:dyDescent="0.2">
      <c r="A167" s="180"/>
      <c r="B167" s="180"/>
      <c r="C167" s="175" t="s">
        <v>221</v>
      </c>
      <c r="D167" s="180">
        <f>SUM(D162:D166)</f>
        <v>123.01</v>
      </c>
      <c r="E167" s="185"/>
      <c r="F167" s="151"/>
      <c r="G167" s="152"/>
    </row>
    <row r="168" spans="1:7" x14ac:dyDescent="0.2">
      <c r="A168" s="180"/>
      <c r="B168" s="180"/>
      <c r="C168" s="184"/>
      <c r="D168" s="180"/>
      <c r="E168" s="185"/>
      <c r="F168" s="151"/>
      <c r="G168" s="152"/>
    </row>
    <row r="169" spans="1:7" s="139" customFormat="1" ht="25.5" x14ac:dyDescent="0.2">
      <c r="A169" s="181" t="str">
        <f>Planilha!A45</f>
        <v>5.1.4</v>
      </c>
      <c r="B169" s="181" t="str">
        <f>Planilha!B45</f>
        <v>17.05.020</v>
      </c>
      <c r="C169" s="182" t="str">
        <f>Planilha!C45</f>
        <v>Contrapiso com requadro em concreto simples sem controle de fck</v>
      </c>
      <c r="D169" s="181" t="str">
        <f>Planilha!D45</f>
        <v>m³</v>
      </c>
      <c r="E169" s="183">
        <f>F173</f>
        <v>14.49</v>
      </c>
      <c r="F169" s="181"/>
      <c r="G169" s="190"/>
    </row>
    <row r="170" spans="1:7" x14ac:dyDescent="0.2">
      <c r="A170" s="151"/>
      <c r="B170" s="151"/>
      <c r="C170" s="154" t="s">
        <v>218</v>
      </c>
      <c r="D170" s="158" t="s">
        <v>243</v>
      </c>
      <c r="E170" s="159" t="s">
        <v>242</v>
      </c>
      <c r="F170" s="151"/>
      <c r="G170" s="152"/>
    </row>
    <row r="171" spans="1:7" x14ac:dyDescent="0.2">
      <c r="A171" s="151"/>
      <c r="B171" s="151"/>
      <c r="C171" s="154" t="s">
        <v>220</v>
      </c>
      <c r="D171" s="151">
        <v>289.89</v>
      </c>
      <c r="E171" s="155">
        <v>0.05</v>
      </c>
      <c r="F171" s="151">
        <f>ROUND((D171*E171),2)</f>
        <v>14.49</v>
      </c>
      <c r="G171" s="152"/>
    </row>
    <row r="172" spans="1:7" x14ac:dyDescent="0.2">
      <c r="A172" s="151"/>
      <c r="B172" s="151"/>
      <c r="C172" s="154" t="s">
        <v>290</v>
      </c>
      <c r="D172" s="151">
        <v>0</v>
      </c>
      <c r="E172" s="155">
        <v>7.0000000000000007E-2</v>
      </c>
      <c r="F172" s="151">
        <f>D172*E172</f>
        <v>0</v>
      </c>
      <c r="G172" s="152"/>
    </row>
    <row r="173" spans="1:7" x14ac:dyDescent="0.2">
      <c r="A173" s="151"/>
      <c r="B173" s="151"/>
      <c r="C173" s="154"/>
      <c r="D173" s="151"/>
      <c r="E173" s="159" t="s">
        <v>221</v>
      </c>
      <c r="F173" s="151">
        <f>SUM(F171:F172)</f>
        <v>14.49</v>
      </c>
      <c r="G173" s="152"/>
    </row>
    <row r="174" spans="1:7" x14ac:dyDescent="0.2">
      <c r="A174" s="151"/>
      <c r="B174" s="151"/>
      <c r="C174" s="156"/>
      <c r="D174" s="151"/>
      <c r="E174" s="155"/>
      <c r="F174" s="151"/>
      <c r="G174" s="152"/>
    </row>
    <row r="175" spans="1:7" s="139" customFormat="1" x14ac:dyDescent="0.2">
      <c r="A175" s="181" t="str">
        <f>Planilha!A46</f>
        <v>5.1.5</v>
      </c>
      <c r="B175" s="181" t="str">
        <f>Planilha!B46</f>
        <v>17.01.050</v>
      </c>
      <c r="C175" s="182" t="str">
        <f>Planilha!C46</f>
        <v>Regularização de piso com nata de cimento</v>
      </c>
      <c r="D175" s="181" t="str">
        <f>Planilha!D46</f>
        <v>m²</v>
      </c>
      <c r="E175" s="183">
        <f>D178</f>
        <v>0</v>
      </c>
      <c r="F175" s="181"/>
      <c r="G175" s="190"/>
    </row>
    <row r="176" spans="1:7" x14ac:dyDescent="0.2">
      <c r="A176" s="151"/>
      <c r="B176" s="151"/>
      <c r="C176" s="156"/>
      <c r="D176" s="151"/>
      <c r="E176" s="155"/>
      <c r="F176" s="151"/>
      <c r="G176" s="152"/>
    </row>
    <row r="177" spans="1:7" x14ac:dyDescent="0.2">
      <c r="A177" s="151"/>
      <c r="B177" s="151"/>
      <c r="C177" s="154" t="s">
        <v>218</v>
      </c>
      <c r="D177" s="158" t="s">
        <v>243</v>
      </c>
      <c r="E177" s="155"/>
      <c r="F177" s="151"/>
      <c r="G177" s="152"/>
    </row>
    <row r="178" spans="1:7" x14ac:dyDescent="0.2">
      <c r="A178" s="151"/>
      <c r="B178" s="151"/>
      <c r="C178" s="154" t="s">
        <v>244</v>
      </c>
      <c r="D178" s="155">
        <v>0</v>
      </c>
      <c r="E178" s="155"/>
      <c r="F178" s="151"/>
      <c r="G178" s="152"/>
    </row>
    <row r="179" spans="1:7" x14ac:dyDescent="0.2">
      <c r="A179" s="151"/>
      <c r="B179" s="151"/>
      <c r="C179" s="156"/>
      <c r="D179" s="151"/>
      <c r="E179" s="155"/>
      <c r="F179" s="151"/>
      <c r="G179" s="152"/>
    </row>
    <row r="180" spans="1:7" s="139" customFormat="1" ht="38.25" x14ac:dyDescent="0.2">
      <c r="A180" s="181" t="str">
        <f>Planilha!A47</f>
        <v>5.1.6</v>
      </c>
      <c r="B180" s="181" t="str">
        <f>Planilha!B47</f>
        <v>18.06.222</v>
      </c>
      <c r="C180" s="182" t="str">
        <f>Planilha!C47</f>
        <v>Placa cerâmica esmaltada PEI-5 para área externa, grupo de absorção BIIb, resistência química B, assentado com argamassa colante industrializada</v>
      </c>
      <c r="D180" s="181" t="str">
        <f>Planilha!D47</f>
        <v>m²</v>
      </c>
      <c r="E180" s="183">
        <f>D183+D184</f>
        <v>20.71</v>
      </c>
      <c r="F180" s="181"/>
      <c r="G180" s="190"/>
    </row>
    <row r="181" spans="1:7" x14ac:dyDescent="0.2">
      <c r="A181" s="151"/>
      <c r="B181" s="151"/>
      <c r="C181" s="156"/>
      <c r="D181" s="151"/>
      <c r="E181" s="155"/>
      <c r="F181" s="151"/>
      <c r="G181" s="152"/>
    </row>
    <row r="182" spans="1:7" x14ac:dyDescent="0.2">
      <c r="A182" s="151"/>
      <c r="B182" s="151"/>
      <c r="C182" s="154" t="s">
        <v>218</v>
      </c>
      <c r="D182" s="158" t="s">
        <v>243</v>
      </c>
      <c r="E182" s="155"/>
      <c r="F182" s="151"/>
      <c r="G182" s="152"/>
    </row>
    <row r="183" spans="1:7" x14ac:dyDescent="0.2">
      <c r="A183" s="151"/>
      <c r="B183" s="151"/>
      <c r="C183" s="154"/>
      <c r="D183" s="155"/>
      <c r="E183" s="155"/>
      <c r="F183" s="151"/>
      <c r="G183" s="152"/>
    </row>
    <row r="184" spans="1:7" x14ac:dyDescent="0.2">
      <c r="A184" s="151"/>
      <c r="B184" s="151"/>
      <c r="C184" s="154" t="s">
        <v>318</v>
      </c>
      <c r="D184" s="155">
        <v>20.71</v>
      </c>
      <c r="E184" s="155"/>
      <c r="F184" s="151"/>
      <c r="G184" s="152"/>
    </row>
    <row r="185" spans="1:7" x14ac:dyDescent="0.2">
      <c r="A185" s="151"/>
      <c r="B185" s="151"/>
      <c r="C185" s="154"/>
      <c r="D185" s="155"/>
      <c r="E185" s="155"/>
      <c r="F185" s="151"/>
      <c r="G185" s="152"/>
    </row>
    <row r="186" spans="1:7" ht="25.5" x14ac:dyDescent="0.2">
      <c r="A186" s="181" t="str">
        <f>Planilha!A48</f>
        <v>5.1.7</v>
      </c>
      <c r="B186" s="181" t="str">
        <f>Planilha!B48</f>
        <v>21.01.100</v>
      </c>
      <c r="C186" s="182" t="str">
        <f>Planilha!C48</f>
        <v>Revestimento em borracha sintética preta, espessura de 4 mm - colado</v>
      </c>
      <c r="D186" s="181" t="str">
        <f>Planilha!D48</f>
        <v>m²</v>
      </c>
      <c r="E186" s="183">
        <f>D189</f>
        <v>52.26</v>
      </c>
      <c r="F186" s="181"/>
      <c r="G186" s="181"/>
    </row>
    <row r="187" spans="1:7" x14ac:dyDescent="0.2">
      <c r="A187" s="151"/>
      <c r="B187" s="151"/>
      <c r="C187" s="154"/>
      <c r="D187" s="155"/>
      <c r="E187" s="155"/>
      <c r="F187" s="151"/>
      <c r="G187" s="152"/>
    </row>
    <row r="188" spans="1:7" x14ac:dyDescent="0.2">
      <c r="A188" s="151"/>
      <c r="B188" s="151"/>
      <c r="C188" s="154" t="s">
        <v>218</v>
      </c>
      <c r="D188" s="158" t="s">
        <v>243</v>
      </c>
      <c r="E188" s="155"/>
      <c r="F188" s="151"/>
      <c r="G188" s="152"/>
    </row>
    <row r="189" spans="1:7" x14ac:dyDescent="0.2">
      <c r="A189" s="151"/>
      <c r="B189" s="151"/>
      <c r="C189" s="154" t="s">
        <v>252</v>
      </c>
      <c r="D189" s="155">
        <v>52.26</v>
      </c>
      <c r="E189" s="155"/>
      <c r="F189" s="151"/>
      <c r="G189" s="152"/>
    </row>
    <row r="190" spans="1:7" x14ac:dyDescent="0.2">
      <c r="A190" s="151"/>
      <c r="B190" s="151"/>
      <c r="C190" s="156"/>
      <c r="D190" s="151"/>
      <c r="E190" s="155"/>
      <c r="F190" s="151"/>
      <c r="G190" s="152"/>
    </row>
    <row r="191" spans="1:7" x14ac:dyDescent="0.2">
      <c r="A191" s="151"/>
      <c r="B191" s="151"/>
      <c r="C191" s="156"/>
      <c r="D191" s="151"/>
      <c r="E191" s="155"/>
      <c r="F191" s="151"/>
      <c r="G191" s="152"/>
    </row>
    <row r="192" spans="1:7" s="139" customFormat="1" x14ac:dyDescent="0.2">
      <c r="A192" s="181">
        <f>Planilha!A50</f>
        <v>6</v>
      </c>
      <c r="B192" s="181"/>
      <c r="C192" s="182" t="str">
        <f>Planilha!C50</f>
        <v>PINTURA</v>
      </c>
      <c r="D192" s="181"/>
      <c r="E192" s="183"/>
      <c r="F192" s="181"/>
      <c r="G192" s="190"/>
    </row>
    <row r="193" spans="1:7" s="139" customFormat="1" x14ac:dyDescent="0.2">
      <c r="A193" s="181" t="str">
        <f>Planilha!A51</f>
        <v>6.1</v>
      </c>
      <c r="B193" s="181"/>
      <c r="C193" s="182" t="str">
        <f>Planilha!C51</f>
        <v>PINTURA EXTERNA</v>
      </c>
      <c r="D193" s="181"/>
      <c r="E193" s="183"/>
      <c r="F193" s="181"/>
      <c r="G193" s="190"/>
    </row>
    <row r="194" spans="1:7" s="139" customFormat="1" x14ac:dyDescent="0.2">
      <c r="A194" s="181" t="str">
        <f>Planilha!A52</f>
        <v>6.1.1</v>
      </c>
      <c r="B194" s="181" t="str">
        <f>Planilha!B52</f>
        <v>03.10.140</v>
      </c>
      <c r="C194" s="182" t="str">
        <f>Planilha!C52</f>
        <v>Remoção de pintura em massa com lixamento</v>
      </c>
      <c r="D194" s="181" t="str">
        <f>Planilha!D52</f>
        <v>m²</v>
      </c>
      <c r="E194" s="183">
        <f>F203</f>
        <v>625.9</v>
      </c>
      <c r="F194" s="181"/>
      <c r="G194" s="190"/>
    </row>
    <row r="195" spans="1:7" x14ac:dyDescent="0.2">
      <c r="A195" s="151"/>
      <c r="B195" s="151"/>
      <c r="C195" s="156"/>
      <c r="D195" s="151"/>
      <c r="E195" s="155"/>
      <c r="F195" s="151"/>
      <c r="G195" s="152"/>
    </row>
    <row r="196" spans="1:7" x14ac:dyDescent="0.2">
      <c r="A196" s="151"/>
      <c r="B196" s="151"/>
      <c r="C196" s="154" t="s">
        <v>218</v>
      </c>
      <c r="D196" s="158" t="s">
        <v>222</v>
      </c>
      <c r="E196" s="159" t="s">
        <v>223</v>
      </c>
      <c r="F196" s="158" t="s">
        <v>248</v>
      </c>
      <c r="G196" s="152"/>
    </row>
    <row r="197" spans="1:7" x14ac:dyDescent="0.2">
      <c r="A197" s="151"/>
      <c r="B197" s="151"/>
      <c r="C197" s="154" t="s">
        <v>245</v>
      </c>
      <c r="D197" s="151">
        <v>43.6</v>
      </c>
      <c r="E197" s="155">
        <v>8</v>
      </c>
      <c r="F197" s="151">
        <f t="shared" ref="F197:F202" si="0">D197*E197</f>
        <v>348.8</v>
      </c>
      <c r="G197" s="152"/>
    </row>
    <row r="198" spans="1:7" x14ac:dyDescent="0.2">
      <c r="A198" s="151"/>
      <c r="B198" s="151"/>
      <c r="C198" s="154" t="s">
        <v>246</v>
      </c>
      <c r="D198" s="151">
        <v>4</v>
      </c>
      <c r="E198" s="155">
        <v>3</v>
      </c>
      <c r="F198" s="151">
        <f t="shared" si="0"/>
        <v>12</v>
      </c>
      <c r="G198" s="152"/>
    </row>
    <row r="199" spans="1:7" x14ac:dyDescent="0.2">
      <c r="A199" s="151"/>
      <c r="B199" s="151"/>
      <c r="C199" s="154" t="s">
        <v>247</v>
      </c>
      <c r="D199" s="151">
        <v>10.8</v>
      </c>
      <c r="E199" s="155">
        <v>3</v>
      </c>
      <c r="F199" s="151">
        <f t="shared" si="0"/>
        <v>32.400000000000006</v>
      </c>
      <c r="G199" s="152"/>
    </row>
    <row r="200" spans="1:7" x14ac:dyDescent="0.2">
      <c r="A200" s="151"/>
      <c r="B200" s="151"/>
      <c r="C200" s="154" t="s">
        <v>244</v>
      </c>
      <c r="D200" s="151">
        <f>7.4+8.5+7.4</f>
        <v>23.3</v>
      </c>
      <c r="E200" s="155">
        <v>3</v>
      </c>
      <c r="F200" s="151">
        <f t="shared" si="0"/>
        <v>69.900000000000006</v>
      </c>
      <c r="G200" s="152"/>
    </row>
    <row r="201" spans="1:7" x14ac:dyDescent="0.2">
      <c r="A201" s="151"/>
      <c r="B201" s="151"/>
      <c r="C201" s="154" t="s">
        <v>249</v>
      </c>
      <c r="D201" s="151">
        <v>15.1</v>
      </c>
      <c r="E201" s="155">
        <v>8</v>
      </c>
      <c r="F201" s="151">
        <f t="shared" si="0"/>
        <v>120.8</v>
      </c>
      <c r="G201" s="152"/>
    </row>
    <row r="202" spans="1:7" x14ac:dyDescent="0.2">
      <c r="A202" s="151"/>
      <c r="B202" s="151"/>
      <c r="C202" s="154" t="s">
        <v>251</v>
      </c>
      <c r="D202" s="151">
        <v>14</v>
      </c>
      <c r="E202" s="155">
        <v>3</v>
      </c>
      <c r="F202" s="151">
        <f t="shared" si="0"/>
        <v>42</v>
      </c>
      <c r="G202" s="152"/>
    </row>
    <row r="203" spans="1:7" x14ac:dyDescent="0.2">
      <c r="A203" s="151"/>
      <c r="B203" s="151"/>
      <c r="C203" s="156"/>
      <c r="D203" s="151"/>
      <c r="E203" s="159" t="s">
        <v>221</v>
      </c>
      <c r="F203" s="151">
        <f>SUM(F197:F202)</f>
        <v>625.9</v>
      </c>
      <c r="G203" s="152"/>
    </row>
    <row r="204" spans="1:7" x14ac:dyDescent="0.2">
      <c r="A204" s="151"/>
      <c r="B204" s="151"/>
      <c r="C204" s="156"/>
      <c r="D204" s="151"/>
      <c r="E204" s="155"/>
      <c r="F204" s="151"/>
      <c r="G204" s="152"/>
    </row>
    <row r="205" spans="1:7" s="139" customFormat="1" x14ac:dyDescent="0.2">
      <c r="A205" s="181" t="str">
        <f>Planilha!A53</f>
        <v>6.1.2</v>
      </c>
      <c r="B205" s="181" t="str">
        <f>Planilha!B53</f>
        <v>33.02.080</v>
      </c>
      <c r="C205" s="182" t="str">
        <f>Planilha!C53</f>
        <v>Massa corrida à base de resina acrílica</v>
      </c>
      <c r="D205" s="181" t="str">
        <f>Planilha!D53</f>
        <v>m²</v>
      </c>
      <c r="E205" s="183">
        <f>F214</f>
        <v>625.9</v>
      </c>
      <c r="F205" s="181"/>
      <c r="G205" s="190"/>
    </row>
    <row r="206" spans="1:7" x14ac:dyDescent="0.2">
      <c r="A206" s="151"/>
      <c r="B206" s="151"/>
      <c r="C206" s="156"/>
      <c r="D206" s="151"/>
      <c r="E206" s="155"/>
      <c r="F206" s="151"/>
      <c r="G206" s="152"/>
    </row>
    <row r="207" spans="1:7" x14ac:dyDescent="0.2">
      <c r="A207" s="151"/>
      <c r="B207" s="151"/>
      <c r="C207" s="154" t="s">
        <v>218</v>
      </c>
      <c r="D207" s="158" t="s">
        <v>222</v>
      </c>
      <c r="E207" s="159" t="s">
        <v>223</v>
      </c>
      <c r="F207" s="158" t="s">
        <v>248</v>
      </c>
      <c r="G207" s="152"/>
    </row>
    <row r="208" spans="1:7" x14ac:dyDescent="0.2">
      <c r="A208" s="151"/>
      <c r="B208" s="151"/>
      <c r="C208" s="154" t="s">
        <v>245</v>
      </c>
      <c r="D208" s="151">
        <v>43.6</v>
      </c>
      <c r="E208" s="155">
        <v>8</v>
      </c>
      <c r="F208" s="151">
        <f t="shared" ref="F208:F213" si="1">D208*E208</f>
        <v>348.8</v>
      </c>
      <c r="G208" s="152"/>
    </row>
    <row r="209" spans="1:7" x14ac:dyDescent="0.2">
      <c r="A209" s="151"/>
      <c r="B209" s="151"/>
      <c r="C209" s="154" t="s">
        <v>246</v>
      </c>
      <c r="D209" s="151">
        <v>4</v>
      </c>
      <c r="E209" s="155">
        <v>3</v>
      </c>
      <c r="F209" s="151">
        <f t="shared" si="1"/>
        <v>12</v>
      </c>
      <c r="G209" s="152"/>
    </row>
    <row r="210" spans="1:7" x14ac:dyDescent="0.2">
      <c r="A210" s="151"/>
      <c r="B210" s="151"/>
      <c r="C210" s="154" t="s">
        <v>247</v>
      </c>
      <c r="D210" s="151">
        <v>10.8</v>
      </c>
      <c r="E210" s="155">
        <v>3</v>
      </c>
      <c r="F210" s="151">
        <f t="shared" si="1"/>
        <v>32.400000000000006</v>
      </c>
      <c r="G210" s="152"/>
    </row>
    <row r="211" spans="1:7" x14ac:dyDescent="0.2">
      <c r="A211" s="151"/>
      <c r="B211" s="151"/>
      <c r="C211" s="154" t="s">
        <v>244</v>
      </c>
      <c r="D211" s="151">
        <f>7.4+8.5+7.4</f>
        <v>23.3</v>
      </c>
      <c r="E211" s="155">
        <v>3</v>
      </c>
      <c r="F211" s="151">
        <f t="shared" si="1"/>
        <v>69.900000000000006</v>
      </c>
      <c r="G211" s="152"/>
    </row>
    <row r="212" spans="1:7" x14ac:dyDescent="0.2">
      <c r="A212" s="151"/>
      <c r="B212" s="151"/>
      <c r="C212" s="154" t="s">
        <v>249</v>
      </c>
      <c r="D212" s="151">
        <v>15.1</v>
      </c>
      <c r="E212" s="155">
        <v>8</v>
      </c>
      <c r="F212" s="151">
        <f t="shared" si="1"/>
        <v>120.8</v>
      </c>
      <c r="G212" s="152"/>
    </row>
    <row r="213" spans="1:7" x14ac:dyDescent="0.2">
      <c r="A213" s="151"/>
      <c r="B213" s="151"/>
      <c r="C213" s="154" t="s">
        <v>251</v>
      </c>
      <c r="D213" s="151">
        <v>14</v>
      </c>
      <c r="E213" s="155">
        <v>3</v>
      </c>
      <c r="F213" s="151">
        <f t="shared" si="1"/>
        <v>42</v>
      </c>
      <c r="G213" s="152"/>
    </row>
    <row r="214" spans="1:7" x14ac:dyDescent="0.2">
      <c r="A214" s="151"/>
      <c r="B214" s="151"/>
      <c r="C214" s="156"/>
      <c r="D214" s="151"/>
      <c r="E214" s="159" t="s">
        <v>221</v>
      </c>
      <c r="F214" s="151">
        <f>SUM(F208:F213)</f>
        <v>625.9</v>
      </c>
      <c r="G214" s="152"/>
    </row>
    <row r="215" spans="1:7" x14ac:dyDescent="0.2">
      <c r="A215" s="151"/>
      <c r="B215" s="151"/>
      <c r="C215" s="156"/>
      <c r="D215" s="151"/>
      <c r="E215" s="155"/>
      <c r="F215" s="151"/>
      <c r="G215" s="152"/>
    </row>
    <row r="216" spans="1:7" s="139" customFormat="1" x14ac:dyDescent="0.2">
      <c r="A216" s="181" t="str">
        <f>Planilha!A54</f>
        <v>6.1.3</v>
      </c>
      <c r="B216" s="181" t="str">
        <f>Planilha!B54</f>
        <v>33.10.030</v>
      </c>
      <c r="C216" s="182" t="str">
        <f>Planilha!C54</f>
        <v>Tinta acrílica antimofo em massa, inclusive preparo</v>
      </c>
      <c r="D216" s="181" t="str">
        <f>Planilha!D54</f>
        <v>m²</v>
      </c>
      <c r="E216" s="183">
        <f>F226</f>
        <v>1241.0999999999999</v>
      </c>
      <c r="F216" s="181"/>
      <c r="G216" s="190"/>
    </row>
    <row r="217" spans="1:7" x14ac:dyDescent="0.2">
      <c r="A217" s="151"/>
      <c r="B217" s="151"/>
      <c r="C217" s="156"/>
      <c r="D217" s="151"/>
      <c r="E217" s="155"/>
      <c r="F217" s="151"/>
      <c r="G217" s="152"/>
    </row>
    <row r="218" spans="1:7" x14ac:dyDescent="0.2">
      <c r="A218" s="151"/>
      <c r="B218" s="151"/>
      <c r="C218" s="154" t="s">
        <v>218</v>
      </c>
      <c r="D218" s="158" t="s">
        <v>222</v>
      </c>
      <c r="E218" s="159" t="s">
        <v>223</v>
      </c>
      <c r="F218" s="158" t="s">
        <v>248</v>
      </c>
      <c r="G218" s="152"/>
    </row>
    <row r="219" spans="1:7" x14ac:dyDescent="0.2">
      <c r="A219" s="151"/>
      <c r="B219" s="151"/>
      <c r="C219" s="154" t="s">
        <v>245</v>
      </c>
      <c r="D219" s="151">
        <v>43.6</v>
      </c>
      <c r="E219" s="155">
        <v>8</v>
      </c>
      <c r="F219" s="151">
        <f t="shared" ref="F219:F225" si="2">D219*E219</f>
        <v>348.8</v>
      </c>
      <c r="G219" s="152"/>
    </row>
    <row r="220" spans="1:7" x14ac:dyDescent="0.2">
      <c r="A220" s="151"/>
      <c r="B220" s="151"/>
      <c r="C220" s="154" t="s">
        <v>246</v>
      </c>
      <c r="D220" s="151">
        <v>4</v>
      </c>
      <c r="E220" s="155">
        <v>3</v>
      </c>
      <c r="F220" s="151">
        <f t="shared" si="2"/>
        <v>12</v>
      </c>
      <c r="G220" s="152"/>
    </row>
    <row r="221" spans="1:7" x14ac:dyDescent="0.2">
      <c r="A221" s="151"/>
      <c r="B221" s="151"/>
      <c r="C221" s="154" t="s">
        <v>247</v>
      </c>
      <c r="D221" s="151">
        <v>10.8</v>
      </c>
      <c r="E221" s="155">
        <v>3</v>
      </c>
      <c r="F221" s="151">
        <f t="shared" si="2"/>
        <v>32.400000000000006</v>
      </c>
      <c r="G221" s="152"/>
    </row>
    <row r="222" spans="1:7" x14ac:dyDescent="0.2">
      <c r="A222" s="151"/>
      <c r="B222" s="151"/>
      <c r="C222" s="154" t="s">
        <v>244</v>
      </c>
      <c r="D222" s="151">
        <f>7.4+8.5+7.4</f>
        <v>23.3</v>
      </c>
      <c r="E222" s="155">
        <v>3</v>
      </c>
      <c r="F222" s="151">
        <f t="shared" si="2"/>
        <v>69.900000000000006</v>
      </c>
      <c r="G222" s="152"/>
    </row>
    <row r="223" spans="1:7" x14ac:dyDescent="0.2">
      <c r="A223" s="151"/>
      <c r="B223" s="151"/>
      <c r="C223" s="154" t="s">
        <v>249</v>
      </c>
      <c r="D223" s="151">
        <v>15.1</v>
      </c>
      <c r="E223" s="155">
        <v>8</v>
      </c>
      <c r="F223" s="151">
        <f t="shared" si="2"/>
        <v>120.8</v>
      </c>
      <c r="G223" s="152"/>
    </row>
    <row r="224" spans="1:7" x14ac:dyDescent="0.2">
      <c r="A224" s="151"/>
      <c r="B224" s="151"/>
      <c r="C224" s="154" t="s">
        <v>250</v>
      </c>
      <c r="D224" s="151">
        <f>32.45*2+6*2</f>
        <v>76.900000000000006</v>
      </c>
      <c r="E224" s="155">
        <v>8</v>
      </c>
      <c r="F224" s="151">
        <f t="shared" si="2"/>
        <v>615.20000000000005</v>
      </c>
      <c r="G224" s="152"/>
    </row>
    <row r="225" spans="1:7" x14ac:dyDescent="0.2">
      <c r="A225" s="151"/>
      <c r="B225" s="151"/>
      <c r="C225" s="154" t="s">
        <v>251</v>
      </c>
      <c r="D225" s="151">
        <v>14</v>
      </c>
      <c r="E225" s="155">
        <v>3</v>
      </c>
      <c r="F225" s="151">
        <f t="shared" si="2"/>
        <v>42</v>
      </c>
      <c r="G225" s="152"/>
    </row>
    <row r="226" spans="1:7" x14ac:dyDescent="0.2">
      <c r="A226" s="151"/>
      <c r="B226" s="151"/>
      <c r="C226" s="156"/>
      <c r="D226" s="151"/>
      <c r="E226" s="159" t="s">
        <v>221</v>
      </c>
      <c r="F226" s="151">
        <f>SUM(F219:F225)</f>
        <v>1241.0999999999999</v>
      </c>
      <c r="G226" s="152"/>
    </row>
    <row r="227" spans="1:7" x14ac:dyDescent="0.2">
      <c r="A227" s="151"/>
      <c r="B227" s="151"/>
      <c r="C227" s="156"/>
      <c r="D227" s="151"/>
      <c r="E227" s="155"/>
      <c r="F227" s="151"/>
      <c r="G227" s="152"/>
    </row>
    <row r="228" spans="1:7" x14ac:dyDescent="0.2">
      <c r="A228" s="181" t="str">
        <f>Planilha!A55</f>
        <v>6.2</v>
      </c>
      <c r="B228" s="181"/>
      <c r="C228" s="182" t="str">
        <f>Planilha!C55</f>
        <v>PINTURA INTERNA</v>
      </c>
      <c r="D228" s="181"/>
      <c r="E228" s="183"/>
      <c r="F228" s="181"/>
      <c r="G228" s="190"/>
    </row>
    <row r="229" spans="1:7" x14ac:dyDescent="0.2">
      <c r="A229" s="181" t="str">
        <f>Planilha!A56</f>
        <v>6.2.1</v>
      </c>
      <c r="B229" s="181" t="str">
        <f>Planilha!B56</f>
        <v>33.02.060</v>
      </c>
      <c r="C229" s="182" t="str">
        <f>Planilha!C56</f>
        <v>Massa corrida a base de PVA</v>
      </c>
      <c r="D229" s="181" t="str">
        <f>Planilha!D56</f>
        <v>m²</v>
      </c>
      <c r="E229" s="183">
        <f>F245</f>
        <v>1081.8469999999998</v>
      </c>
      <c r="F229" s="181"/>
      <c r="G229" s="190"/>
    </row>
    <row r="230" spans="1:7" x14ac:dyDescent="0.2">
      <c r="A230" s="147"/>
      <c r="B230" s="147"/>
      <c r="C230" s="150"/>
      <c r="D230" s="147"/>
      <c r="E230" s="153"/>
      <c r="F230" s="151"/>
      <c r="G230" s="152"/>
    </row>
    <row r="231" spans="1:7" x14ac:dyDescent="0.2">
      <c r="A231" s="147"/>
      <c r="B231" s="147"/>
      <c r="C231" s="154" t="s">
        <v>218</v>
      </c>
      <c r="D231" s="158" t="s">
        <v>222</v>
      </c>
      <c r="E231" s="159" t="s">
        <v>223</v>
      </c>
      <c r="F231" s="158" t="s">
        <v>219</v>
      </c>
      <c r="G231" s="152"/>
    </row>
    <row r="232" spans="1:7" ht="25.5" x14ac:dyDescent="0.2">
      <c r="A232" s="147"/>
      <c r="B232" s="147"/>
      <c r="C232" s="154" t="s">
        <v>215</v>
      </c>
      <c r="D232" s="161" t="s">
        <v>224</v>
      </c>
      <c r="E232" s="155">
        <v>3.4</v>
      </c>
      <c r="F232" s="155">
        <f>ROUND(((8.74+2.6+2.85+3.95+4.15+8.8+2.9+2.9)*E232),2)</f>
        <v>125.43</v>
      </c>
      <c r="G232" s="152"/>
    </row>
    <row r="233" spans="1:7" x14ac:dyDescent="0.2">
      <c r="A233" s="147"/>
      <c r="B233" s="147"/>
      <c r="C233" s="154" t="s">
        <v>216</v>
      </c>
      <c r="D233" s="158" t="s">
        <v>225</v>
      </c>
      <c r="E233" s="155">
        <v>3.4</v>
      </c>
      <c r="F233" s="155">
        <f>ROUND(((15.15+1.35)*E233),2)</f>
        <v>56.1</v>
      </c>
      <c r="G233" s="152"/>
    </row>
    <row r="234" spans="1:7" x14ac:dyDescent="0.2">
      <c r="A234" s="147"/>
      <c r="B234" s="147"/>
      <c r="C234" s="154" t="s">
        <v>217</v>
      </c>
      <c r="D234" s="158" t="s">
        <v>226</v>
      </c>
      <c r="E234" s="155">
        <v>3.4</v>
      </c>
      <c r="F234" s="155">
        <f>ROUND(((9.3+5.93+7.7+3.95)*E234),2)</f>
        <v>91.39</v>
      </c>
      <c r="G234" s="152"/>
    </row>
    <row r="235" spans="1:7" x14ac:dyDescent="0.2">
      <c r="A235" s="147"/>
      <c r="B235" s="147"/>
      <c r="C235" s="154" t="s">
        <v>236</v>
      </c>
      <c r="D235" s="151">
        <v>15.45</v>
      </c>
      <c r="E235" s="155">
        <v>3.4</v>
      </c>
      <c r="F235" s="155">
        <f t="shared" ref="F235:F243" si="3">D235*E235</f>
        <v>52.529999999999994</v>
      </c>
      <c r="G235" s="152"/>
    </row>
    <row r="236" spans="1:7" x14ac:dyDescent="0.2">
      <c r="A236" s="147"/>
      <c r="B236" s="147"/>
      <c r="C236" s="154" t="s">
        <v>234</v>
      </c>
      <c r="D236" s="158">
        <v>56.1</v>
      </c>
      <c r="E236" s="155">
        <v>6</v>
      </c>
      <c r="F236" s="155">
        <f t="shared" si="3"/>
        <v>336.6</v>
      </c>
      <c r="G236" s="152"/>
    </row>
    <row r="237" spans="1:7" x14ac:dyDescent="0.2">
      <c r="A237" s="147"/>
      <c r="B237" s="147"/>
      <c r="C237" s="154" t="s">
        <v>252</v>
      </c>
      <c r="D237" s="158">
        <v>18.2</v>
      </c>
      <c r="E237" s="155">
        <v>3.2</v>
      </c>
      <c r="F237" s="155">
        <f t="shared" si="3"/>
        <v>58.24</v>
      </c>
      <c r="G237" s="152"/>
    </row>
    <row r="238" spans="1:7" x14ac:dyDescent="0.2">
      <c r="A238" s="147"/>
      <c r="B238" s="147"/>
      <c r="C238" s="154" t="s">
        <v>253</v>
      </c>
      <c r="D238" s="158">
        <v>16.2</v>
      </c>
      <c r="E238" s="159">
        <v>2.7</v>
      </c>
      <c r="F238" s="155">
        <f t="shared" si="3"/>
        <v>43.74</v>
      </c>
      <c r="G238" s="152"/>
    </row>
    <row r="239" spans="1:7" x14ac:dyDescent="0.2">
      <c r="A239" s="147"/>
      <c r="B239" s="147"/>
      <c r="C239" s="175" t="s">
        <v>235</v>
      </c>
      <c r="D239" s="158">
        <v>10.57</v>
      </c>
      <c r="E239" s="159">
        <v>2.7</v>
      </c>
      <c r="F239" s="155">
        <f t="shared" si="3"/>
        <v>28.539000000000001</v>
      </c>
      <c r="G239" s="152"/>
    </row>
    <row r="240" spans="1:7" x14ac:dyDescent="0.2">
      <c r="A240" s="147"/>
      <c r="B240" s="147"/>
      <c r="C240" s="175" t="s">
        <v>238</v>
      </c>
      <c r="D240" s="158">
        <v>18.399999999999999</v>
      </c>
      <c r="E240" s="159">
        <v>2.7</v>
      </c>
      <c r="F240" s="155">
        <f t="shared" si="3"/>
        <v>49.68</v>
      </c>
      <c r="G240" s="152"/>
    </row>
    <row r="241" spans="1:7" x14ac:dyDescent="0.2">
      <c r="A241" s="147"/>
      <c r="B241" s="147"/>
      <c r="C241" s="175" t="s">
        <v>239</v>
      </c>
      <c r="D241" s="158">
        <v>22.8</v>
      </c>
      <c r="E241" s="159">
        <v>2.7</v>
      </c>
      <c r="F241" s="155">
        <f t="shared" si="3"/>
        <v>61.560000000000009</v>
      </c>
      <c r="G241" s="152"/>
    </row>
    <row r="242" spans="1:7" x14ac:dyDescent="0.2">
      <c r="A242" s="147"/>
      <c r="B242" s="147"/>
      <c r="C242" s="175" t="s">
        <v>240</v>
      </c>
      <c r="D242" s="158">
        <v>29</v>
      </c>
      <c r="E242" s="159">
        <v>2.7</v>
      </c>
      <c r="F242" s="155">
        <f t="shared" si="3"/>
        <v>78.300000000000011</v>
      </c>
      <c r="G242" s="152"/>
    </row>
    <row r="243" spans="1:7" x14ac:dyDescent="0.2">
      <c r="A243" s="147"/>
      <c r="B243" s="147"/>
      <c r="C243" s="175" t="s">
        <v>241</v>
      </c>
      <c r="D243" s="158">
        <v>16.600000000000001</v>
      </c>
      <c r="E243" s="159">
        <v>2.7</v>
      </c>
      <c r="F243" s="155">
        <f t="shared" si="3"/>
        <v>44.820000000000007</v>
      </c>
      <c r="G243" s="152"/>
    </row>
    <row r="244" spans="1:7" x14ac:dyDescent="0.2">
      <c r="A244" s="147"/>
      <c r="B244" s="147"/>
      <c r="C244" s="175" t="s">
        <v>251</v>
      </c>
      <c r="D244" s="158" t="s">
        <v>307</v>
      </c>
      <c r="E244" s="159">
        <v>2.7</v>
      </c>
      <c r="F244" s="155">
        <f>(2.7+2.7+7.47+7.47)*2.7</f>
        <v>54.918000000000006</v>
      </c>
      <c r="G244" s="152"/>
    </row>
    <row r="245" spans="1:7" x14ac:dyDescent="0.2">
      <c r="A245" s="147"/>
      <c r="B245" s="147"/>
      <c r="C245" s="150"/>
      <c r="D245" s="158"/>
      <c r="E245" s="159" t="s">
        <v>221</v>
      </c>
      <c r="F245" s="155">
        <f>SUM(F232:F244)</f>
        <v>1081.8469999999998</v>
      </c>
      <c r="G245" s="152"/>
    </row>
    <row r="246" spans="1:7" x14ac:dyDescent="0.2">
      <c r="A246" s="147"/>
      <c r="B246" s="147"/>
      <c r="C246" s="150"/>
      <c r="D246" s="147"/>
      <c r="E246" s="153"/>
      <c r="F246" s="151"/>
      <c r="G246" s="152"/>
    </row>
    <row r="247" spans="1:7" x14ac:dyDescent="0.2">
      <c r="A247" s="147"/>
      <c r="B247" s="147"/>
      <c r="C247" s="150"/>
      <c r="D247" s="147"/>
      <c r="E247" s="153"/>
      <c r="F247" s="151"/>
      <c r="G247" s="152"/>
    </row>
    <row r="248" spans="1:7" x14ac:dyDescent="0.2">
      <c r="A248" s="181" t="str">
        <f>Planilha!A57</f>
        <v>6.2.2</v>
      </c>
      <c r="B248" s="181" t="str">
        <f>Planilha!B57</f>
        <v>03.10.140</v>
      </c>
      <c r="C248" s="181" t="str">
        <f>Planilha!C57</f>
        <v>Remoção de pintura em massa com lixamento</v>
      </c>
      <c r="D248" s="181" t="str">
        <f>Planilha!D57</f>
        <v>m²</v>
      </c>
      <c r="E248" s="183">
        <f>F260</f>
        <v>756.39700000000016</v>
      </c>
      <c r="F248" s="181"/>
      <c r="G248" s="190"/>
    </row>
    <row r="249" spans="1:7" x14ac:dyDescent="0.2">
      <c r="A249" s="147"/>
      <c r="B249" s="147"/>
      <c r="C249" s="150"/>
      <c r="D249" s="147"/>
      <c r="E249" s="153"/>
      <c r="F249" s="151"/>
      <c r="G249" s="152"/>
    </row>
    <row r="250" spans="1:7" x14ac:dyDescent="0.2">
      <c r="A250" s="147"/>
      <c r="B250" s="147"/>
      <c r="C250" s="154" t="s">
        <v>218</v>
      </c>
      <c r="D250" s="158" t="s">
        <v>222</v>
      </c>
      <c r="E250" s="159" t="s">
        <v>223</v>
      </c>
      <c r="F250" s="158" t="s">
        <v>219</v>
      </c>
      <c r="G250" s="152"/>
    </row>
    <row r="251" spans="1:7" x14ac:dyDescent="0.2">
      <c r="A251" s="147"/>
      <c r="B251" s="147"/>
      <c r="C251" s="154" t="s">
        <v>234</v>
      </c>
      <c r="D251" s="158">
        <v>56.1</v>
      </c>
      <c r="E251" s="155">
        <v>6</v>
      </c>
      <c r="F251" s="155">
        <f t="shared" ref="F251:F258" si="4">D251*E251</f>
        <v>336.6</v>
      </c>
      <c r="G251" s="152"/>
    </row>
    <row r="252" spans="1:7" x14ac:dyDescent="0.2">
      <c r="A252" s="147"/>
      <c r="B252" s="147"/>
      <c r="C252" s="154" t="s">
        <v>252</v>
      </c>
      <c r="D252" s="158">
        <v>18.2</v>
      </c>
      <c r="E252" s="155">
        <v>3.2</v>
      </c>
      <c r="F252" s="155">
        <f t="shared" si="4"/>
        <v>58.24</v>
      </c>
      <c r="G252" s="152"/>
    </row>
    <row r="253" spans="1:7" x14ac:dyDescent="0.2">
      <c r="A253" s="147"/>
      <c r="B253" s="147"/>
      <c r="C253" s="154" t="s">
        <v>253</v>
      </c>
      <c r="D253" s="158">
        <v>16.2</v>
      </c>
      <c r="E253" s="159">
        <v>2.7</v>
      </c>
      <c r="F253" s="155">
        <f t="shared" si="4"/>
        <v>43.74</v>
      </c>
      <c r="G253" s="152"/>
    </row>
    <row r="254" spans="1:7" x14ac:dyDescent="0.2">
      <c r="A254" s="147"/>
      <c r="B254" s="147"/>
      <c r="C254" s="175" t="s">
        <v>235</v>
      </c>
      <c r="D254" s="158">
        <v>10.57</v>
      </c>
      <c r="E254" s="159">
        <v>2.7</v>
      </c>
      <c r="F254" s="155">
        <f t="shared" si="4"/>
        <v>28.539000000000001</v>
      </c>
      <c r="G254" s="152"/>
    </row>
    <row r="255" spans="1:7" x14ac:dyDescent="0.2">
      <c r="A255" s="147"/>
      <c r="B255" s="147"/>
      <c r="C255" s="175" t="s">
        <v>238</v>
      </c>
      <c r="D255" s="158">
        <v>18.399999999999999</v>
      </c>
      <c r="E255" s="159">
        <v>2.7</v>
      </c>
      <c r="F255" s="155">
        <f t="shared" si="4"/>
        <v>49.68</v>
      </c>
      <c r="G255" s="152"/>
    </row>
    <row r="256" spans="1:7" x14ac:dyDescent="0.2">
      <c r="A256" s="147"/>
      <c r="B256" s="147"/>
      <c r="C256" s="175" t="s">
        <v>239</v>
      </c>
      <c r="D256" s="158">
        <v>22.8</v>
      </c>
      <c r="E256" s="159">
        <v>2.7</v>
      </c>
      <c r="F256" s="155">
        <f t="shared" si="4"/>
        <v>61.560000000000009</v>
      </c>
      <c r="G256" s="152"/>
    </row>
    <row r="257" spans="1:7" x14ac:dyDescent="0.2">
      <c r="A257" s="147"/>
      <c r="B257" s="147"/>
      <c r="C257" s="175" t="s">
        <v>240</v>
      </c>
      <c r="D257" s="158">
        <v>29</v>
      </c>
      <c r="E257" s="159">
        <v>2.7</v>
      </c>
      <c r="F257" s="155">
        <f t="shared" si="4"/>
        <v>78.300000000000011</v>
      </c>
      <c r="G257" s="152"/>
    </row>
    <row r="258" spans="1:7" x14ac:dyDescent="0.2">
      <c r="A258" s="147"/>
      <c r="B258" s="147"/>
      <c r="C258" s="175" t="s">
        <v>241</v>
      </c>
      <c r="D258" s="158">
        <v>16.600000000000001</v>
      </c>
      <c r="E258" s="159">
        <v>2.7</v>
      </c>
      <c r="F258" s="155">
        <f t="shared" si="4"/>
        <v>44.820000000000007</v>
      </c>
      <c r="G258" s="152"/>
    </row>
    <row r="259" spans="1:7" x14ac:dyDescent="0.2">
      <c r="A259" s="147"/>
      <c r="B259" s="147"/>
      <c r="C259" s="175" t="s">
        <v>251</v>
      </c>
      <c r="D259" s="158" t="s">
        <v>307</v>
      </c>
      <c r="E259" s="159">
        <v>2.7</v>
      </c>
      <c r="F259" s="155">
        <f>(2.7+2.7+7.47+7.47)*2.7</f>
        <v>54.918000000000006</v>
      </c>
      <c r="G259" s="152"/>
    </row>
    <row r="260" spans="1:7" x14ac:dyDescent="0.2">
      <c r="A260" s="147"/>
      <c r="B260" s="147"/>
      <c r="C260" s="150"/>
      <c r="D260" s="147"/>
      <c r="E260" s="153" t="s">
        <v>221</v>
      </c>
      <c r="F260" s="155">
        <f>SUM(F251:F259)</f>
        <v>756.39700000000016</v>
      </c>
      <c r="G260" s="152"/>
    </row>
    <row r="261" spans="1:7" x14ac:dyDescent="0.2">
      <c r="A261" s="147"/>
      <c r="B261" s="147"/>
      <c r="C261" s="150"/>
      <c r="D261" s="147"/>
      <c r="E261" s="153"/>
      <c r="F261" s="151"/>
      <c r="G261" s="152"/>
    </row>
    <row r="262" spans="1:7" s="139" customFormat="1" x14ac:dyDescent="0.2">
      <c r="A262" s="181" t="str">
        <f>Planilha!A58</f>
        <v>6.2.3</v>
      </c>
      <c r="B262" s="181" t="str">
        <f>Planilha!B58</f>
        <v>33.10.020</v>
      </c>
      <c r="C262" s="182" t="str">
        <f>Planilha!C58</f>
        <v>Tinta látex em massa, inclusive preparo</v>
      </c>
      <c r="D262" s="181" t="str">
        <f>Planilha!D58</f>
        <v>m²</v>
      </c>
      <c r="E262" s="183">
        <f>F278</f>
        <v>1081.8469999999998</v>
      </c>
      <c r="F262" s="181"/>
      <c r="G262" s="190"/>
    </row>
    <row r="263" spans="1:7" x14ac:dyDescent="0.2">
      <c r="A263" s="151"/>
      <c r="B263" s="151"/>
      <c r="C263" s="156"/>
      <c r="D263" s="151"/>
      <c r="E263" s="155"/>
      <c r="F263" s="151"/>
      <c r="G263" s="152"/>
    </row>
    <row r="264" spans="1:7" x14ac:dyDescent="0.2">
      <c r="A264" s="151"/>
      <c r="B264" s="151"/>
      <c r="C264" s="154" t="s">
        <v>218</v>
      </c>
      <c r="D264" s="158" t="s">
        <v>222</v>
      </c>
      <c r="E264" s="159" t="s">
        <v>223</v>
      </c>
      <c r="F264" s="158" t="s">
        <v>219</v>
      </c>
      <c r="G264" s="152"/>
    </row>
    <row r="265" spans="1:7" ht="25.5" x14ac:dyDescent="0.2">
      <c r="A265" s="151"/>
      <c r="B265" s="151"/>
      <c r="C265" s="154" t="s">
        <v>215</v>
      </c>
      <c r="D265" s="161" t="s">
        <v>224</v>
      </c>
      <c r="E265" s="155">
        <v>3.4</v>
      </c>
      <c r="F265" s="155">
        <f>ROUND(((8.74+2.6+2.85+3.95+4.15+8.8+2.9+2.9)*E265),2)</f>
        <v>125.43</v>
      </c>
      <c r="G265" s="152"/>
    </row>
    <row r="266" spans="1:7" x14ac:dyDescent="0.2">
      <c r="A266" s="151"/>
      <c r="B266" s="151"/>
      <c r="C266" s="154" t="s">
        <v>216</v>
      </c>
      <c r="D266" s="158" t="s">
        <v>225</v>
      </c>
      <c r="E266" s="155">
        <v>3.4</v>
      </c>
      <c r="F266" s="155">
        <f>ROUND(((15.15+1.35)*E266),2)</f>
        <v>56.1</v>
      </c>
      <c r="G266" s="152"/>
    </row>
    <row r="267" spans="1:7" x14ac:dyDescent="0.2">
      <c r="A267" s="151"/>
      <c r="B267" s="151"/>
      <c r="C267" s="154" t="s">
        <v>217</v>
      </c>
      <c r="D267" s="158" t="s">
        <v>226</v>
      </c>
      <c r="E267" s="155">
        <v>3.4</v>
      </c>
      <c r="F267" s="155">
        <f>ROUND(((9.3+5.93+7.7+3.95)*E267),2)</f>
        <v>91.39</v>
      </c>
      <c r="G267" s="152"/>
    </row>
    <row r="268" spans="1:7" x14ac:dyDescent="0.2">
      <c r="A268" s="151"/>
      <c r="B268" s="151"/>
      <c r="C268" s="154" t="s">
        <v>236</v>
      </c>
      <c r="D268" s="151">
        <v>15.45</v>
      </c>
      <c r="E268" s="155">
        <v>3.4</v>
      </c>
      <c r="F268" s="155">
        <f t="shared" ref="F268:F276" si="5">D268*E268</f>
        <v>52.529999999999994</v>
      </c>
      <c r="G268" s="152"/>
    </row>
    <row r="269" spans="1:7" x14ac:dyDescent="0.2">
      <c r="A269" s="151"/>
      <c r="B269" s="151"/>
      <c r="C269" s="154" t="s">
        <v>234</v>
      </c>
      <c r="D269" s="158">
        <v>56.1</v>
      </c>
      <c r="E269" s="155">
        <v>6</v>
      </c>
      <c r="F269" s="155">
        <f t="shared" si="5"/>
        <v>336.6</v>
      </c>
      <c r="G269" s="152"/>
    </row>
    <row r="270" spans="1:7" x14ac:dyDescent="0.2">
      <c r="A270" s="151"/>
      <c r="B270" s="151"/>
      <c r="C270" s="154" t="s">
        <v>252</v>
      </c>
      <c r="D270" s="158">
        <v>18.2</v>
      </c>
      <c r="E270" s="155">
        <v>3.2</v>
      </c>
      <c r="F270" s="155">
        <f t="shared" si="5"/>
        <v>58.24</v>
      </c>
      <c r="G270" s="152"/>
    </row>
    <row r="271" spans="1:7" x14ac:dyDescent="0.2">
      <c r="A271" s="151"/>
      <c r="B271" s="151"/>
      <c r="C271" s="154" t="s">
        <v>253</v>
      </c>
      <c r="D271" s="158">
        <v>16.2</v>
      </c>
      <c r="E271" s="159">
        <v>2.7</v>
      </c>
      <c r="F271" s="155">
        <f t="shared" si="5"/>
        <v>43.74</v>
      </c>
      <c r="G271" s="152"/>
    </row>
    <row r="272" spans="1:7" x14ac:dyDescent="0.2">
      <c r="A272" s="151"/>
      <c r="B272" s="151"/>
      <c r="C272" s="175" t="s">
        <v>235</v>
      </c>
      <c r="D272" s="158">
        <v>10.57</v>
      </c>
      <c r="E272" s="159">
        <v>2.7</v>
      </c>
      <c r="F272" s="155">
        <f t="shared" si="5"/>
        <v>28.539000000000001</v>
      </c>
      <c r="G272" s="152"/>
    </row>
    <row r="273" spans="1:7" x14ac:dyDescent="0.2">
      <c r="A273" s="151"/>
      <c r="B273" s="151"/>
      <c r="C273" s="175" t="s">
        <v>238</v>
      </c>
      <c r="D273" s="158">
        <v>18.399999999999999</v>
      </c>
      <c r="E273" s="159">
        <v>2.7</v>
      </c>
      <c r="F273" s="155">
        <f t="shared" si="5"/>
        <v>49.68</v>
      </c>
      <c r="G273" s="152"/>
    </row>
    <row r="274" spans="1:7" x14ac:dyDescent="0.2">
      <c r="A274" s="151"/>
      <c r="B274" s="151"/>
      <c r="C274" s="175" t="s">
        <v>239</v>
      </c>
      <c r="D274" s="158">
        <v>22.8</v>
      </c>
      <c r="E274" s="159">
        <v>2.7</v>
      </c>
      <c r="F274" s="155">
        <f t="shared" si="5"/>
        <v>61.560000000000009</v>
      </c>
      <c r="G274" s="152"/>
    </row>
    <row r="275" spans="1:7" x14ac:dyDescent="0.2">
      <c r="A275" s="151"/>
      <c r="B275" s="151"/>
      <c r="C275" s="175" t="s">
        <v>240</v>
      </c>
      <c r="D275" s="158">
        <v>29</v>
      </c>
      <c r="E275" s="159">
        <v>2.7</v>
      </c>
      <c r="F275" s="155">
        <f t="shared" si="5"/>
        <v>78.300000000000011</v>
      </c>
      <c r="G275" s="152"/>
    </row>
    <row r="276" spans="1:7" x14ac:dyDescent="0.2">
      <c r="A276" s="151"/>
      <c r="B276" s="151"/>
      <c r="C276" s="175" t="s">
        <v>241</v>
      </c>
      <c r="D276" s="158">
        <v>16.600000000000001</v>
      </c>
      <c r="E276" s="159">
        <v>2.7</v>
      </c>
      <c r="F276" s="155">
        <f t="shared" si="5"/>
        <v>44.820000000000007</v>
      </c>
      <c r="G276" s="152"/>
    </row>
    <row r="277" spans="1:7" x14ac:dyDescent="0.2">
      <c r="A277" s="151"/>
      <c r="B277" s="151"/>
      <c r="C277" s="175" t="s">
        <v>251</v>
      </c>
      <c r="D277" s="158" t="s">
        <v>307</v>
      </c>
      <c r="E277" s="159">
        <v>2.7</v>
      </c>
      <c r="F277" s="155">
        <f>(2.7+2.7+7.47+7.47)*2.7</f>
        <v>54.918000000000006</v>
      </c>
      <c r="G277" s="152"/>
    </row>
    <row r="278" spans="1:7" x14ac:dyDescent="0.2">
      <c r="A278" s="151"/>
      <c r="B278" s="151"/>
      <c r="C278" s="150"/>
      <c r="D278" s="158"/>
      <c r="E278" s="159" t="s">
        <v>221</v>
      </c>
      <c r="F278" s="155">
        <f>SUM(F265:F277)</f>
        <v>1081.8469999999998</v>
      </c>
      <c r="G278" s="152"/>
    </row>
    <row r="279" spans="1:7" x14ac:dyDescent="0.2">
      <c r="A279" s="151"/>
      <c r="B279" s="151"/>
      <c r="C279" s="156"/>
      <c r="D279" s="151"/>
      <c r="E279" s="155"/>
      <c r="F279" s="151"/>
      <c r="G279" s="152"/>
    </row>
    <row r="280" spans="1:7" s="139" customFormat="1" ht="25.5" x14ac:dyDescent="0.2">
      <c r="A280" s="181" t="str">
        <f>Planilha!A59</f>
        <v>6.2.4</v>
      </c>
      <c r="B280" s="181" t="str">
        <f>Planilha!B59</f>
        <v>33.10.041</v>
      </c>
      <c r="C280" s="182" t="str">
        <f>Planilha!C59</f>
        <v>Esmalte à base de água em massa, inclusive preparo (barrado superior de 1,2m)</v>
      </c>
      <c r="D280" s="181" t="str">
        <f>Planilha!D59</f>
        <v>m²</v>
      </c>
      <c r="E280" s="183">
        <f>F287</f>
        <v>60</v>
      </c>
      <c r="F280" s="181"/>
      <c r="G280" s="190"/>
    </row>
    <row r="281" spans="1:7" x14ac:dyDescent="0.2">
      <c r="A281" s="151"/>
      <c r="B281" s="151"/>
      <c r="C281" s="156"/>
      <c r="D281" s="151"/>
      <c r="E281" s="155"/>
      <c r="F281" s="151"/>
      <c r="G281" s="152"/>
    </row>
    <row r="282" spans="1:7" x14ac:dyDescent="0.2">
      <c r="A282" s="151"/>
      <c r="B282" s="151"/>
      <c r="C282" s="154" t="s">
        <v>218</v>
      </c>
      <c r="D282" s="158" t="s">
        <v>222</v>
      </c>
      <c r="E282" s="159" t="s">
        <v>223</v>
      </c>
      <c r="F282" s="158" t="s">
        <v>219</v>
      </c>
      <c r="G282" s="152"/>
    </row>
    <row r="283" spans="1:7" x14ac:dyDescent="0.2">
      <c r="A283" s="151"/>
      <c r="B283" s="151"/>
      <c r="C283" s="156"/>
      <c r="D283" s="151"/>
      <c r="E283" s="155"/>
      <c r="F283" s="151"/>
      <c r="G283" s="152"/>
    </row>
    <row r="284" spans="1:7" x14ac:dyDescent="0.2">
      <c r="A284" s="151"/>
      <c r="B284" s="151"/>
      <c r="C284" s="154" t="s">
        <v>255</v>
      </c>
      <c r="D284" s="151">
        <v>16</v>
      </c>
      <c r="E284" s="155">
        <v>1.2</v>
      </c>
      <c r="F284" s="155">
        <f>D284*E284</f>
        <v>19.2</v>
      </c>
      <c r="G284" s="152"/>
    </row>
    <row r="285" spans="1:7" x14ac:dyDescent="0.2">
      <c r="A285" s="151"/>
      <c r="B285" s="151"/>
      <c r="C285" s="154" t="s">
        <v>256</v>
      </c>
      <c r="D285" s="151">
        <v>16</v>
      </c>
      <c r="E285" s="155">
        <v>1.2</v>
      </c>
      <c r="F285" s="155">
        <f>D285*E285</f>
        <v>19.2</v>
      </c>
      <c r="G285" s="152"/>
    </row>
    <row r="286" spans="1:7" x14ac:dyDescent="0.2">
      <c r="A286" s="151"/>
      <c r="B286" s="151"/>
      <c r="C286" s="154" t="s">
        <v>257</v>
      </c>
      <c r="D286" s="151">
        <f>2.5*2+1.5*2</f>
        <v>8</v>
      </c>
      <c r="E286" s="155">
        <v>2.7</v>
      </c>
      <c r="F286" s="155">
        <f>D286*E286</f>
        <v>21.6</v>
      </c>
      <c r="G286" s="152"/>
    </row>
    <row r="287" spans="1:7" x14ac:dyDescent="0.2">
      <c r="A287" s="151"/>
      <c r="B287" s="151"/>
      <c r="C287" s="154"/>
      <c r="D287" s="151"/>
      <c r="E287" s="155"/>
      <c r="F287" s="155">
        <f>SUM(F284:F286)</f>
        <v>60</v>
      </c>
      <c r="G287" s="152"/>
    </row>
    <row r="288" spans="1:7" x14ac:dyDescent="0.2">
      <c r="A288" s="151"/>
      <c r="B288" s="151"/>
      <c r="C288" s="156"/>
      <c r="D288" s="151"/>
      <c r="E288" s="155"/>
      <c r="F288" s="151"/>
      <c r="G288" s="152"/>
    </row>
    <row r="289" spans="1:7" s="139" customFormat="1" x14ac:dyDescent="0.2">
      <c r="A289" s="181" t="str">
        <f>Planilha!A60</f>
        <v>6.3</v>
      </c>
      <c r="B289" s="181"/>
      <c r="C289" s="182" t="str">
        <f>Planilha!C60</f>
        <v>PINTURA DE ESQUADRIAS</v>
      </c>
      <c r="D289" s="181"/>
      <c r="E289" s="183"/>
      <c r="F289" s="181"/>
      <c r="G289" s="190"/>
    </row>
    <row r="290" spans="1:7" s="139" customFormat="1" ht="25.5" x14ac:dyDescent="0.2">
      <c r="A290" s="181" t="str">
        <f>Planilha!A61</f>
        <v>6.3.1</v>
      </c>
      <c r="B290" s="181" t="str">
        <f>Planilha!B61</f>
        <v>33.11.050</v>
      </c>
      <c r="C290" s="182" t="str">
        <f>Planilha!C61</f>
        <v>Esmalte à base água em superfície metálica, inclusive preparo (grades, portas) (1ª linha)</v>
      </c>
      <c r="D290" s="181" t="str">
        <f>Planilha!D61</f>
        <v>m²</v>
      </c>
      <c r="E290" s="183">
        <f>D299</f>
        <v>47.919999999999995</v>
      </c>
      <c r="F290" s="181"/>
      <c r="G290" s="190"/>
    </row>
    <row r="291" spans="1:7" x14ac:dyDescent="0.2">
      <c r="A291" s="151"/>
      <c r="B291" s="151"/>
      <c r="C291" s="156"/>
      <c r="D291" s="151"/>
      <c r="E291" s="155"/>
      <c r="F291" s="151"/>
      <c r="G291" s="152"/>
    </row>
    <row r="292" spans="1:7" x14ac:dyDescent="0.2">
      <c r="A292" s="151"/>
      <c r="B292" s="151"/>
      <c r="C292" s="154" t="s">
        <v>218</v>
      </c>
      <c r="D292" s="158" t="s">
        <v>262</v>
      </c>
      <c r="E292" s="155"/>
      <c r="F292" s="151"/>
      <c r="G292" s="152"/>
    </row>
    <row r="293" spans="1:7" x14ac:dyDescent="0.2">
      <c r="A293" s="151"/>
      <c r="B293" s="151"/>
      <c r="C293" s="154" t="s">
        <v>259</v>
      </c>
      <c r="D293" s="151">
        <f>2*2.6</f>
        <v>5.2</v>
      </c>
      <c r="E293" s="155"/>
      <c r="F293" s="151"/>
      <c r="G293" s="152"/>
    </row>
    <row r="294" spans="1:7" x14ac:dyDescent="0.2">
      <c r="A294" s="151"/>
      <c r="B294" s="151"/>
      <c r="C294" s="154" t="s">
        <v>260</v>
      </c>
      <c r="D294" s="151">
        <f>6*1.5*1.5</f>
        <v>13.5</v>
      </c>
      <c r="E294" s="155"/>
      <c r="F294" s="151"/>
      <c r="G294" s="152"/>
    </row>
    <row r="295" spans="1:7" ht="25.5" x14ac:dyDescent="0.2">
      <c r="A295" s="151"/>
      <c r="B295" s="151"/>
      <c r="C295" s="154" t="s">
        <v>261</v>
      </c>
      <c r="D295" s="151">
        <f>5*2*1</f>
        <v>10</v>
      </c>
      <c r="E295" s="155"/>
      <c r="F295" s="151"/>
      <c r="G295" s="152"/>
    </row>
    <row r="296" spans="1:7" x14ac:dyDescent="0.2">
      <c r="A296" s="151"/>
      <c r="B296" s="151"/>
      <c r="C296" s="154" t="s">
        <v>263</v>
      </c>
      <c r="D296" s="151">
        <f>(1*0.6+0.8*1+0.8*0.8+0.6*2.1)*2</f>
        <v>6.6</v>
      </c>
      <c r="E296" s="155"/>
      <c r="F296" s="151"/>
      <c r="G296" s="152"/>
    </row>
    <row r="297" spans="1:7" x14ac:dyDescent="0.2">
      <c r="A297" s="151"/>
      <c r="B297" s="151"/>
      <c r="C297" s="156" t="s">
        <v>232</v>
      </c>
      <c r="D297" s="151">
        <f>2.3*3.4</f>
        <v>7.8199999999999994</v>
      </c>
      <c r="E297" s="155"/>
      <c r="F297" s="151"/>
      <c r="G297" s="152"/>
    </row>
    <row r="298" spans="1:7" x14ac:dyDescent="0.2">
      <c r="A298" s="151"/>
      <c r="B298" s="151"/>
      <c r="C298" s="154" t="s">
        <v>289</v>
      </c>
      <c r="D298" s="158">
        <f>2.4*2</f>
        <v>4.8</v>
      </c>
      <c r="E298" s="155"/>
      <c r="F298" s="151"/>
      <c r="G298" s="152"/>
    </row>
    <row r="299" spans="1:7" x14ac:dyDescent="0.2">
      <c r="A299" s="151"/>
      <c r="B299" s="151"/>
      <c r="C299" s="156"/>
      <c r="D299" s="151">
        <f>SUM(D293:D298)</f>
        <v>47.919999999999995</v>
      </c>
      <c r="E299" s="155"/>
      <c r="F299" s="151"/>
      <c r="G299" s="152"/>
    </row>
    <row r="300" spans="1:7" x14ac:dyDescent="0.2">
      <c r="A300" s="151"/>
      <c r="B300" s="151"/>
      <c r="C300" s="156"/>
      <c r="D300" s="151"/>
      <c r="E300" s="155"/>
      <c r="F300" s="151"/>
      <c r="G300" s="152"/>
    </row>
    <row r="301" spans="1:7" s="139" customFormat="1" x14ac:dyDescent="0.2">
      <c r="A301" s="181" t="str">
        <f>Planilha!A62</f>
        <v>6.3.2</v>
      </c>
      <c r="B301" s="181" t="str">
        <f>Planilha!B62</f>
        <v>33.05.330</v>
      </c>
      <c r="C301" s="182" t="str">
        <f>Planilha!C62</f>
        <v>Verniz em superfície de madeira (1ª linha)</v>
      </c>
      <c r="D301" s="181" t="str">
        <f>Planilha!D62</f>
        <v>m²</v>
      </c>
      <c r="E301" s="183">
        <f>13*1.5*1.5</f>
        <v>29.25</v>
      </c>
      <c r="F301" s="181"/>
      <c r="G301" s="190"/>
    </row>
    <row r="302" spans="1:7" x14ac:dyDescent="0.2">
      <c r="A302" s="151"/>
      <c r="B302" s="151"/>
      <c r="C302" s="156"/>
      <c r="D302" s="151"/>
      <c r="E302" s="155"/>
      <c r="F302" s="151"/>
      <c r="G302" s="152"/>
    </row>
    <row r="303" spans="1:7" x14ac:dyDescent="0.2">
      <c r="A303" s="151"/>
      <c r="B303" s="151"/>
      <c r="C303" s="154" t="s">
        <v>227</v>
      </c>
      <c r="D303" s="151"/>
      <c r="E303" s="155"/>
      <c r="F303" s="151"/>
      <c r="G303" s="152"/>
    </row>
    <row r="304" spans="1:7" x14ac:dyDescent="0.2">
      <c r="A304" s="151"/>
      <c r="B304" s="151"/>
      <c r="C304" s="156"/>
      <c r="D304" s="151"/>
      <c r="E304" s="155"/>
      <c r="F304" s="151"/>
      <c r="G304" s="152"/>
    </row>
    <row r="305" spans="1:7" x14ac:dyDescent="0.2">
      <c r="A305" s="151"/>
      <c r="B305" s="151"/>
      <c r="C305" s="156"/>
      <c r="D305" s="151"/>
      <c r="E305" s="155"/>
      <c r="F305" s="151"/>
      <c r="G305" s="152"/>
    </row>
    <row r="306" spans="1:7" s="139" customFormat="1" ht="25.5" x14ac:dyDescent="0.2">
      <c r="A306" s="181" t="str">
        <f>Planilha!A63</f>
        <v>6.3.3</v>
      </c>
      <c r="B306" s="181" t="str">
        <f>Planilha!B63</f>
        <v>33.12.011</v>
      </c>
      <c r="C306" s="182" t="str">
        <f>Planilha!C63</f>
        <v>Esmalte à base de água em madeira, inclusive preparo (portas) (1ª linha)</v>
      </c>
      <c r="D306" s="181" t="str">
        <f>Planilha!D63</f>
        <v>m²</v>
      </c>
      <c r="E306" s="183">
        <f>D308</f>
        <v>16.8</v>
      </c>
      <c r="F306" s="181"/>
      <c r="G306" s="190"/>
    </row>
    <row r="307" spans="1:7" x14ac:dyDescent="0.2">
      <c r="A307" s="151"/>
      <c r="B307" s="151"/>
      <c r="C307" s="156"/>
      <c r="D307" s="151"/>
      <c r="E307" s="155"/>
      <c r="F307" s="151"/>
      <c r="G307" s="152"/>
    </row>
    <row r="308" spans="1:7" x14ac:dyDescent="0.2">
      <c r="A308" s="151"/>
      <c r="B308" s="151"/>
      <c r="C308" s="154" t="s">
        <v>264</v>
      </c>
      <c r="D308" s="151">
        <f>5*0.8*2.1*2</f>
        <v>16.8</v>
      </c>
      <c r="E308" s="155"/>
      <c r="F308" s="151"/>
      <c r="G308" s="152"/>
    </row>
    <row r="309" spans="1:7" x14ac:dyDescent="0.2">
      <c r="A309" s="151"/>
      <c r="B309" s="151"/>
      <c r="C309" s="156"/>
      <c r="D309" s="151"/>
      <c r="E309" s="155"/>
      <c r="F309" s="151"/>
      <c r="G309" s="152"/>
    </row>
    <row r="310" spans="1:7" s="139" customFormat="1" x14ac:dyDescent="0.2">
      <c r="A310" s="181">
        <f>Planilha!A65</f>
        <v>7</v>
      </c>
      <c r="B310" s="181"/>
      <c r="C310" s="182" t="str">
        <f>Planilha!C65</f>
        <v>ESCADARIA E RAMPA DE ACESSIBILIDADE (INTERNA)</v>
      </c>
      <c r="D310" s="181"/>
      <c r="E310" s="183"/>
      <c r="F310" s="181"/>
      <c r="G310" s="190"/>
    </row>
    <row r="311" spans="1:7" s="139" customFormat="1" x14ac:dyDescent="0.2">
      <c r="A311" s="181" t="str">
        <f>Planilha!A66</f>
        <v>7.1</v>
      </c>
      <c r="B311" s="181" t="str">
        <f>Planilha!B66</f>
        <v>11.03.090</v>
      </c>
      <c r="C311" s="182" t="str">
        <f>Planilha!C66</f>
        <v>Concreto preparado no local, fck = 20 MPa</v>
      </c>
      <c r="D311" s="181" t="str">
        <f>Planilha!D66</f>
        <v>m³</v>
      </c>
      <c r="E311" s="183">
        <f>F317</f>
        <v>2.7545000000000002</v>
      </c>
      <c r="F311" s="181"/>
      <c r="G311" s="190"/>
    </row>
    <row r="312" spans="1:7" x14ac:dyDescent="0.2">
      <c r="A312" s="151"/>
      <c r="B312" s="151"/>
      <c r="C312" s="156"/>
      <c r="D312" s="151"/>
      <c r="E312" s="155"/>
      <c r="F312" s="151"/>
      <c r="G312" s="152"/>
    </row>
    <row r="313" spans="1:7" x14ac:dyDescent="0.2">
      <c r="A313" s="151"/>
      <c r="B313" s="151"/>
      <c r="C313" s="156"/>
      <c r="D313" s="158" t="s">
        <v>219</v>
      </c>
      <c r="E313" s="159" t="s">
        <v>223</v>
      </c>
      <c r="F313" s="151"/>
      <c r="G313" s="152"/>
    </row>
    <row r="314" spans="1:7" x14ac:dyDescent="0.2">
      <c r="A314" s="151"/>
      <c r="B314" s="151"/>
      <c r="C314" s="154" t="s">
        <v>298</v>
      </c>
      <c r="D314" s="151">
        <v>6.9</v>
      </c>
      <c r="E314" s="155">
        <v>0.1</v>
      </c>
      <c r="F314" s="151">
        <f>D314*E314</f>
        <v>0.69000000000000006</v>
      </c>
      <c r="G314" s="152"/>
    </row>
    <row r="315" spans="1:7" x14ac:dyDescent="0.2">
      <c r="A315" s="151"/>
      <c r="B315" s="151"/>
      <c r="C315" s="154" t="s">
        <v>299</v>
      </c>
      <c r="D315" s="151">
        <v>11.55</v>
      </c>
      <c r="E315" s="155">
        <v>0.1</v>
      </c>
      <c r="F315" s="151">
        <f>D315*E315</f>
        <v>1.155</v>
      </c>
      <c r="G315" s="152"/>
    </row>
    <row r="316" spans="1:7" x14ac:dyDescent="0.2">
      <c r="A316" s="151"/>
      <c r="B316" s="151"/>
      <c r="C316" s="154" t="s">
        <v>300</v>
      </c>
      <c r="D316" s="151">
        <f>10.7*0.85</f>
        <v>9.0949999999999989</v>
      </c>
      <c r="E316" s="155">
        <v>0.1</v>
      </c>
      <c r="F316" s="151">
        <f>D316*E316</f>
        <v>0.90949999999999998</v>
      </c>
      <c r="G316" s="152"/>
    </row>
    <row r="317" spans="1:7" x14ac:dyDescent="0.2">
      <c r="A317" s="151"/>
      <c r="B317" s="151"/>
      <c r="C317" s="154"/>
      <c r="D317" s="158" t="s">
        <v>221</v>
      </c>
      <c r="E317" s="155"/>
      <c r="F317" s="151">
        <f>SUM(F314:F316)</f>
        <v>2.7545000000000002</v>
      </c>
      <c r="G317" s="152"/>
    </row>
    <row r="318" spans="1:7" x14ac:dyDescent="0.2">
      <c r="A318" s="151"/>
      <c r="B318" s="151"/>
      <c r="C318" s="156"/>
      <c r="D318" s="151"/>
      <c r="E318" s="155"/>
      <c r="F318" s="151"/>
      <c r="G318" s="152"/>
    </row>
    <row r="319" spans="1:7" s="139" customFormat="1" x14ac:dyDescent="0.2">
      <c r="A319" s="181" t="str">
        <f>Planilha!A67</f>
        <v>7.2</v>
      </c>
      <c r="B319" s="181" t="str">
        <f>Planilha!B67</f>
        <v>34.05.310</v>
      </c>
      <c r="C319" s="182" t="str">
        <f>Planilha!C67</f>
        <v>Gradil de ferro perfilado, tipo parque</v>
      </c>
      <c r="D319" s="181" t="str">
        <f>Planilha!D67</f>
        <v>m2</v>
      </c>
      <c r="E319" s="183">
        <f>D322*E322</f>
        <v>5.5</v>
      </c>
      <c r="F319" s="181"/>
      <c r="G319" s="190"/>
    </row>
    <row r="320" spans="1:7" x14ac:dyDescent="0.2">
      <c r="A320" s="151"/>
      <c r="B320" s="151"/>
      <c r="C320" s="156"/>
      <c r="D320" s="151"/>
      <c r="E320" s="155"/>
      <c r="F320" s="151"/>
      <c r="G320" s="152"/>
    </row>
    <row r="321" spans="1:7" x14ac:dyDescent="0.2">
      <c r="A321" s="151"/>
      <c r="B321" s="151"/>
      <c r="C321" s="156"/>
      <c r="D321" s="158" t="s">
        <v>222</v>
      </c>
      <c r="E321" s="159" t="s">
        <v>223</v>
      </c>
      <c r="F321" s="151"/>
      <c r="G321" s="152"/>
    </row>
    <row r="322" spans="1:7" x14ac:dyDescent="0.2">
      <c r="A322" s="151"/>
      <c r="B322" s="151"/>
      <c r="C322" s="154" t="s">
        <v>265</v>
      </c>
      <c r="D322" s="151">
        <v>5</v>
      </c>
      <c r="E322" s="155">
        <v>1.1000000000000001</v>
      </c>
      <c r="F322" s="151"/>
      <c r="G322" s="152"/>
    </row>
    <row r="323" spans="1:7" x14ac:dyDescent="0.2">
      <c r="A323" s="151"/>
      <c r="B323" s="151"/>
      <c r="C323" s="156"/>
      <c r="D323" s="151"/>
      <c r="E323" s="155"/>
      <c r="F323" s="151"/>
      <c r="G323" s="152"/>
    </row>
    <row r="324" spans="1:7" s="139" customFormat="1" x14ac:dyDescent="0.2">
      <c r="A324" s="181" t="str">
        <f>Planilha!A68</f>
        <v>7.3</v>
      </c>
      <c r="B324" s="181" t="str">
        <f>Planilha!B68</f>
        <v>09.01.030</v>
      </c>
      <c r="C324" s="186" t="str">
        <f>Planilha!C68</f>
        <v>Forma em madeira comum para estrutura</v>
      </c>
      <c r="D324" s="181" t="str">
        <f>Planilha!D68</f>
        <v>m²</v>
      </c>
      <c r="E324" s="183">
        <f>D329</f>
        <v>20.645</v>
      </c>
      <c r="F324" s="181"/>
      <c r="G324" s="190"/>
    </row>
    <row r="325" spans="1:7" x14ac:dyDescent="0.2">
      <c r="A325" s="151"/>
      <c r="B325" s="151"/>
      <c r="C325" s="156"/>
      <c r="D325" s="151"/>
      <c r="E325" s="155"/>
      <c r="F325" s="151"/>
      <c r="G325" s="152"/>
    </row>
    <row r="326" spans="1:7" x14ac:dyDescent="0.2">
      <c r="A326" s="151"/>
      <c r="B326" s="151"/>
      <c r="C326" s="154" t="s">
        <v>299</v>
      </c>
      <c r="D326" s="151">
        <v>11.55</v>
      </c>
      <c r="E326" s="155"/>
      <c r="F326" s="151"/>
      <c r="G326" s="152"/>
    </row>
    <row r="327" spans="1:7" x14ac:dyDescent="0.2">
      <c r="A327" s="151"/>
      <c r="B327" s="151"/>
      <c r="C327" s="154" t="s">
        <v>300</v>
      </c>
      <c r="D327" s="151">
        <f>10.7*0.85</f>
        <v>9.0949999999999989</v>
      </c>
      <c r="E327" s="155"/>
      <c r="F327" s="151"/>
      <c r="G327" s="152"/>
    </row>
    <row r="328" spans="1:7" x14ac:dyDescent="0.2">
      <c r="A328" s="151"/>
      <c r="B328" s="151"/>
      <c r="C328" s="156"/>
      <c r="D328" s="151"/>
      <c r="E328" s="155"/>
      <c r="F328" s="151"/>
      <c r="G328" s="152"/>
    </row>
    <row r="329" spans="1:7" x14ac:dyDescent="0.2">
      <c r="A329" s="151"/>
      <c r="B329" s="151"/>
      <c r="C329" s="156"/>
      <c r="D329" s="151">
        <f>SUM(D326:D327)</f>
        <v>20.645</v>
      </c>
      <c r="E329" s="155"/>
      <c r="F329" s="151"/>
      <c r="G329" s="152"/>
    </row>
    <row r="330" spans="1:7" x14ac:dyDescent="0.2">
      <c r="A330" s="151"/>
      <c r="B330" s="151"/>
      <c r="C330" s="156"/>
      <c r="D330" s="151"/>
      <c r="E330" s="155"/>
      <c r="F330" s="151"/>
      <c r="G330" s="152"/>
    </row>
    <row r="331" spans="1:7" x14ac:dyDescent="0.2">
      <c r="A331" s="181" t="str">
        <f>Planilha!A69</f>
        <v>7.4</v>
      </c>
      <c r="B331" s="181" t="str">
        <f>Planilha!B69</f>
        <v>06.11.040</v>
      </c>
      <c r="C331" s="182" t="str">
        <f>Planilha!C69</f>
        <v>Reaterro manual apiloado sem controle de compactação</v>
      </c>
      <c r="D331" s="181" t="str">
        <f>Planilha!D69</f>
        <v>m³</v>
      </c>
      <c r="E331" s="183">
        <f>D333</f>
        <v>7.2759999999999998</v>
      </c>
      <c r="F331" s="181"/>
      <c r="G331" s="190"/>
    </row>
    <row r="332" spans="1:7" x14ac:dyDescent="0.2">
      <c r="A332" s="151"/>
      <c r="B332" s="151"/>
      <c r="C332" s="156"/>
      <c r="D332" s="151"/>
      <c r="E332" s="151"/>
      <c r="F332" s="151"/>
      <c r="G332" s="152"/>
    </row>
    <row r="333" spans="1:7" x14ac:dyDescent="0.2">
      <c r="A333" s="151"/>
      <c r="B333" s="151"/>
      <c r="C333" s="154" t="s">
        <v>305</v>
      </c>
      <c r="D333" s="151">
        <f>10.7*0.68</f>
        <v>7.2759999999999998</v>
      </c>
      <c r="E333" s="151"/>
      <c r="F333" s="151"/>
      <c r="G333" s="152"/>
    </row>
    <row r="334" spans="1:7" x14ac:dyDescent="0.2">
      <c r="A334" s="151"/>
      <c r="B334" s="151"/>
      <c r="C334" s="156"/>
      <c r="D334" s="151"/>
      <c r="E334" s="151"/>
      <c r="F334" s="151"/>
      <c r="G334" s="152"/>
    </row>
    <row r="335" spans="1:7" ht="25.5" x14ac:dyDescent="0.2">
      <c r="A335" s="181" t="str">
        <f>Planilha!A70</f>
        <v>7.5</v>
      </c>
      <c r="B335" s="181" t="str">
        <f>Planilha!B70</f>
        <v>19.01.430</v>
      </c>
      <c r="C335" s="182" t="str">
        <f>Planilha!C70</f>
        <v>Degrau e espelho em granito jateado, espessura de 2 cm, assente com massa</v>
      </c>
      <c r="D335" s="181" t="str">
        <f>Planilha!D70</f>
        <v>m</v>
      </c>
      <c r="E335" s="181">
        <f>D337</f>
        <v>53.5</v>
      </c>
      <c r="F335" s="181"/>
      <c r="G335" s="190"/>
    </row>
    <row r="336" spans="1:7" x14ac:dyDescent="0.2">
      <c r="A336" s="151"/>
      <c r="B336" s="151"/>
      <c r="C336" s="156"/>
      <c r="D336" s="151"/>
      <c r="E336" s="151"/>
      <c r="F336" s="151"/>
      <c r="G336" s="152"/>
    </row>
    <row r="337" spans="1:7" x14ac:dyDescent="0.2">
      <c r="A337" s="151"/>
      <c r="B337" s="151"/>
      <c r="C337" s="154" t="s">
        <v>306</v>
      </c>
      <c r="D337" s="151">
        <f>10.7*5</f>
        <v>53.5</v>
      </c>
      <c r="E337" s="151"/>
      <c r="F337" s="151"/>
      <c r="G337" s="152"/>
    </row>
    <row r="338" spans="1:7" x14ac:dyDescent="0.2">
      <c r="A338" s="151"/>
      <c r="B338" s="151"/>
      <c r="C338" s="156"/>
      <c r="D338" s="151"/>
      <c r="E338" s="151"/>
      <c r="F338" s="151"/>
      <c r="G338" s="152"/>
    </row>
    <row r="339" spans="1:7" ht="25.5" x14ac:dyDescent="0.2">
      <c r="A339" s="181" t="str">
        <f>Planilha!A71</f>
        <v>7.6</v>
      </c>
      <c r="B339" s="181" t="str">
        <f>Planilha!B71</f>
        <v>19.01.410</v>
      </c>
      <c r="C339" s="182" t="str">
        <f>Planilha!C71</f>
        <v>Revestimento em granito jateado, espessura de 2,0 cm, assente com massa</v>
      </c>
      <c r="D339" s="181" t="str">
        <f>Planilha!D71</f>
        <v>m²</v>
      </c>
      <c r="E339" s="181">
        <f>D342</f>
        <v>11.55</v>
      </c>
      <c r="F339" s="181"/>
      <c r="G339" s="190"/>
    </row>
    <row r="340" spans="1:7" x14ac:dyDescent="0.2">
      <c r="A340" s="151"/>
      <c r="B340" s="151"/>
      <c r="C340" s="151"/>
      <c r="D340" s="151"/>
      <c r="E340" s="151"/>
      <c r="F340" s="151"/>
      <c r="G340" s="152"/>
    </row>
    <row r="341" spans="1:7" x14ac:dyDescent="0.2">
      <c r="A341" s="151"/>
      <c r="B341" s="151"/>
      <c r="C341" s="158" t="s">
        <v>218</v>
      </c>
      <c r="D341" s="158" t="s">
        <v>219</v>
      </c>
      <c r="E341" s="151"/>
      <c r="F341" s="151"/>
      <c r="G341" s="152"/>
    </row>
    <row r="342" spans="1:7" x14ac:dyDescent="0.2">
      <c r="A342" s="151"/>
      <c r="B342" s="151"/>
      <c r="C342" s="154" t="s">
        <v>299</v>
      </c>
      <c r="D342" s="151">
        <v>11.55</v>
      </c>
      <c r="E342" s="155"/>
      <c r="F342" s="151"/>
      <c r="G342" s="152"/>
    </row>
    <row r="343" spans="1:7" x14ac:dyDescent="0.2">
      <c r="A343" s="151"/>
      <c r="B343" s="151"/>
      <c r="C343" s="156"/>
      <c r="D343" s="151"/>
      <c r="E343" s="155"/>
      <c r="F343" s="151"/>
      <c r="G343" s="152"/>
    </row>
    <row r="344" spans="1:7" s="139" customFormat="1" x14ac:dyDescent="0.2">
      <c r="A344" s="181">
        <f>Planilha!A73</f>
        <v>8</v>
      </c>
      <c r="B344" s="181"/>
      <c r="C344" s="182" t="str">
        <f>Planilha!C73</f>
        <v xml:space="preserve">COBERTURA </v>
      </c>
      <c r="D344" s="181"/>
      <c r="E344" s="183"/>
      <c r="F344" s="181"/>
      <c r="G344" s="190"/>
    </row>
    <row r="345" spans="1:7" s="139" customFormat="1" ht="25.5" x14ac:dyDescent="0.2">
      <c r="A345" s="181" t="str">
        <f>Planilha!A74</f>
        <v>8.1</v>
      </c>
      <c r="B345" s="181" t="str">
        <f>Planilha!B74</f>
        <v>16.33.022</v>
      </c>
      <c r="C345" s="182" t="str">
        <f>Planilha!C74</f>
        <v>Calha, rufo, afins em chapa galvanizada nº 24 - corte 0,33 m (Pingadeira)</v>
      </c>
      <c r="D345" s="181" t="str">
        <f>Planilha!D74</f>
        <v>m</v>
      </c>
      <c r="E345" s="183">
        <v>45</v>
      </c>
      <c r="F345" s="181"/>
      <c r="G345" s="190"/>
    </row>
    <row r="346" spans="1:7" x14ac:dyDescent="0.2">
      <c r="A346" s="151"/>
      <c r="B346" s="151"/>
      <c r="C346" s="156"/>
      <c r="D346" s="151"/>
      <c r="E346" s="155"/>
      <c r="F346" s="151"/>
      <c r="G346" s="152"/>
    </row>
    <row r="347" spans="1:7" x14ac:dyDescent="0.2">
      <c r="A347" s="151"/>
      <c r="B347" s="151"/>
      <c r="C347" s="154" t="s">
        <v>276</v>
      </c>
      <c r="D347" s="151">
        <v>45</v>
      </c>
      <c r="E347" s="155"/>
      <c r="F347" s="151"/>
      <c r="G347" s="152"/>
    </row>
    <row r="348" spans="1:7" x14ac:dyDescent="0.2">
      <c r="A348" s="151"/>
      <c r="B348" s="151"/>
      <c r="C348" s="156"/>
      <c r="D348" s="151"/>
      <c r="E348" s="155"/>
      <c r="F348" s="151"/>
      <c r="G348" s="152"/>
    </row>
    <row r="349" spans="1:7" s="139" customFormat="1" ht="25.5" x14ac:dyDescent="0.2">
      <c r="A349" s="181" t="str">
        <f>Planilha!A75</f>
        <v>8.2</v>
      </c>
      <c r="B349" s="181" t="str">
        <f>Planilha!B75</f>
        <v>16.33.062</v>
      </c>
      <c r="C349" s="182" t="str">
        <f>Planilha!C75</f>
        <v>Calha, rufo, afins em chapa galvanizada nº 24 - corte 1,00 m (calha)</v>
      </c>
      <c r="D349" s="181" t="str">
        <f>Planilha!D75</f>
        <v>m</v>
      </c>
      <c r="E349" s="183">
        <f>D354</f>
        <v>125.7</v>
      </c>
      <c r="F349" s="181"/>
      <c r="G349" s="190"/>
    </row>
    <row r="350" spans="1:7" x14ac:dyDescent="0.2">
      <c r="A350" s="151"/>
      <c r="B350" s="151"/>
      <c r="C350" s="154" t="s">
        <v>218</v>
      </c>
      <c r="D350" s="158" t="s">
        <v>222</v>
      </c>
      <c r="E350" s="155"/>
      <c r="F350" s="151"/>
      <c r="G350" s="152"/>
    </row>
    <row r="351" spans="1:7" x14ac:dyDescent="0.2">
      <c r="A351" s="151"/>
      <c r="B351" s="151"/>
      <c r="C351" s="154" t="s">
        <v>273</v>
      </c>
      <c r="D351" s="179">
        <v>75</v>
      </c>
      <c r="E351" s="155"/>
      <c r="F351" s="151"/>
      <c r="G351" s="152"/>
    </row>
    <row r="352" spans="1:7" x14ac:dyDescent="0.2">
      <c r="A352" s="151"/>
      <c r="B352" s="151"/>
      <c r="C352" s="154" t="s">
        <v>274</v>
      </c>
      <c r="D352" s="179">
        <v>24.7</v>
      </c>
      <c r="E352" s="155"/>
      <c r="F352" s="151"/>
      <c r="G352" s="152"/>
    </row>
    <row r="353" spans="1:7" x14ac:dyDescent="0.2">
      <c r="A353" s="151"/>
      <c r="B353" s="151"/>
      <c r="C353" s="154" t="s">
        <v>275</v>
      </c>
      <c r="D353" s="179">
        <v>26</v>
      </c>
      <c r="E353" s="155"/>
      <c r="F353" s="151"/>
      <c r="G353" s="152"/>
    </row>
    <row r="354" spans="1:7" x14ac:dyDescent="0.2">
      <c r="A354" s="151"/>
      <c r="B354" s="151"/>
      <c r="C354" s="156"/>
      <c r="D354" s="155">
        <f>SUM(D351:D353)</f>
        <v>125.7</v>
      </c>
      <c r="E354" s="155"/>
      <c r="F354" s="151"/>
      <c r="G354" s="152"/>
    </row>
    <row r="355" spans="1:7" x14ac:dyDescent="0.2">
      <c r="A355" s="151"/>
      <c r="B355" s="151"/>
      <c r="C355" s="156"/>
      <c r="D355" s="155"/>
      <c r="E355" s="155"/>
      <c r="F355" s="151"/>
      <c r="G355" s="152"/>
    </row>
    <row r="356" spans="1:7" ht="25.5" x14ac:dyDescent="0.2">
      <c r="A356" s="181" t="str">
        <f>Planilha!A76</f>
        <v>8.3</v>
      </c>
      <c r="B356" s="181" t="str">
        <f>Planilha!B76</f>
        <v>46.05.020</v>
      </c>
      <c r="C356" s="182" t="str">
        <f>Planilha!C76</f>
        <v>Tubo PVC rígido, junta elástica, DN= 100 mm, inclusive conexões (coletor de águas pluviais)</v>
      </c>
      <c r="D356" s="181" t="str">
        <f>Planilha!D76</f>
        <v>m</v>
      </c>
      <c r="E356" s="183">
        <f>D359</f>
        <v>30</v>
      </c>
      <c r="F356" s="181"/>
      <c r="G356" s="190"/>
    </row>
    <row r="357" spans="1:7" x14ac:dyDescent="0.2">
      <c r="A357" s="151"/>
      <c r="B357" s="151"/>
      <c r="C357" s="156"/>
      <c r="D357" s="151"/>
      <c r="E357" s="155"/>
      <c r="F357" s="151"/>
      <c r="G357" s="152"/>
    </row>
    <row r="358" spans="1:7" x14ac:dyDescent="0.2">
      <c r="A358" s="151"/>
      <c r="B358" s="151"/>
      <c r="C358" s="156"/>
      <c r="D358" s="151"/>
      <c r="E358" s="155"/>
      <c r="F358" s="151"/>
      <c r="G358" s="152"/>
    </row>
    <row r="359" spans="1:7" x14ac:dyDescent="0.2">
      <c r="A359" s="151"/>
      <c r="B359" s="151"/>
      <c r="C359" s="154" t="s">
        <v>292</v>
      </c>
      <c r="D359" s="155">
        <v>30</v>
      </c>
      <c r="E359" s="155"/>
      <c r="F359" s="151"/>
      <c r="G359" s="152"/>
    </row>
    <row r="360" spans="1:7" x14ac:dyDescent="0.2">
      <c r="A360" s="151"/>
      <c r="B360" s="151"/>
      <c r="C360" s="156"/>
      <c r="D360" s="151"/>
      <c r="E360" s="155"/>
      <c r="F360" s="151"/>
      <c r="G360" s="152"/>
    </row>
    <row r="361" spans="1:7" x14ac:dyDescent="0.2">
      <c r="A361" s="181" t="str">
        <f>Planilha!A77</f>
        <v>8.4</v>
      </c>
      <c r="B361" s="181" t="str">
        <f>Planilha!B77</f>
        <v>04.03.020</v>
      </c>
      <c r="C361" s="181" t="str">
        <f>Planilha!C77</f>
        <v>Retirada de telhamento em barro</v>
      </c>
      <c r="D361" s="181" t="str">
        <f>Planilha!D77</f>
        <v>m²</v>
      </c>
      <c r="E361" s="183">
        <f>F365</f>
        <v>458.62200000000001</v>
      </c>
      <c r="F361" s="181"/>
      <c r="G361" s="190"/>
    </row>
    <row r="362" spans="1:7" x14ac:dyDescent="0.2">
      <c r="A362" s="151"/>
      <c r="B362" s="151"/>
      <c r="C362" s="156"/>
      <c r="D362" s="151"/>
      <c r="E362" s="155"/>
      <c r="F362" s="151"/>
      <c r="G362" s="152"/>
    </row>
    <row r="363" spans="1:7" x14ac:dyDescent="0.2">
      <c r="A363" s="151"/>
      <c r="B363" s="151"/>
      <c r="C363" s="156"/>
      <c r="D363" s="151"/>
      <c r="E363" s="155"/>
      <c r="F363" s="151"/>
      <c r="G363" s="152"/>
    </row>
    <row r="364" spans="1:7" x14ac:dyDescent="0.2">
      <c r="A364" s="151"/>
      <c r="B364" s="151"/>
      <c r="C364" s="154" t="s">
        <v>218</v>
      </c>
      <c r="D364" s="158" t="s">
        <v>219</v>
      </c>
      <c r="E364" s="159" t="s">
        <v>326</v>
      </c>
      <c r="F364" s="151"/>
      <c r="G364" s="152"/>
    </row>
    <row r="365" spans="1:7" x14ac:dyDescent="0.2">
      <c r="A365" s="151"/>
      <c r="B365" s="151"/>
      <c r="C365" s="175" t="s">
        <v>293</v>
      </c>
      <c r="D365" s="180">
        <v>424.65</v>
      </c>
      <c r="E365" s="155">
        <v>0.08</v>
      </c>
      <c r="F365" s="151">
        <f>D365*1.08</f>
        <v>458.62200000000001</v>
      </c>
      <c r="G365" s="160" t="s">
        <v>327</v>
      </c>
    </row>
    <row r="366" spans="1:7" x14ac:dyDescent="0.2">
      <c r="A366" s="151"/>
      <c r="B366" s="151"/>
      <c r="C366" s="175"/>
      <c r="D366" s="180"/>
      <c r="E366" s="155"/>
      <c r="F366" s="151"/>
      <c r="G366" s="152"/>
    </row>
    <row r="367" spans="1:7" x14ac:dyDescent="0.2">
      <c r="A367" s="181" t="str">
        <f>Planilha!A78</f>
        <v>8.5</v>
      </c>
      <c r="B367" s="181" t="str">
        <f>Planilha!B78</f>
        <v>55.01.140</v>
      </c>
      <c r="C367" s="181" t="str">
        <f>Planilha!C78</f>
        <v>Limpeza de superfície com hidrojateamento (telha)</v>
      </c>
      <c r="D367" s="181" t="str">
        <f>Planilha!D78</f>
        <v>m²</v>
      </c>
      <c r="E367" s="183">
        <f>F370</f>
        <v>458.62200000000001</v>
      </c>
      <c r="F367" s="181"/>
      <c r="G367" s="190"/>
    </row>
    <row r="368" spans="1:7" x14ac:dyDescent="0.2">
      <c r="A368" s="151"/>
      <c r="B368" s="151"/>
      <c r="C368" s="156"/>
      <c r="D368" s="151"/>
      <c r="E368" s="155"/>
      <c r="F368" s="151"/>
      <c r="G368" s="152"/>
    </row>
    <row r="369" spans="1:7" x14ac:dyDescent="0.2">
      <c r="A369" s="151"/>
      <c r="B369" s="151"/>
      <c r="C369" s="154" t="s">
        <v>218</v>
      </c>
      <c r="D369" s="158" t="s">
        <v>219</v>
      </c>
      <c r="E369" s="159" t="s">
        <v>326</v>
      </c>
      <c r="F369" s="151"/>
      <c r="G369" s="152"/>
    </row>
    <row r="370" spans="1:7" x14ac:dyDescent="0.2">
      <c r="A370" s="151"/>
      <c r="B370" s="151"/>
      <c r="C370" s="175" t="s">
        <v>293</v>
      </c>
      <c r="D370" s="180">
        <v>424.65</v>
      </c>
      <c r="E370" s="155">
        <v>0.08</v>
      </c>
      <c r="F370" s="151">
        <f>D370*1.08</f>
        <v>458.62200000000001</v>
      </c>
      <c r="G370" s="152"/>
    </row>
    <row r="371" spans="1:7" x14ac:dyDescent="0.2">
      <c r="A371" s="151"/>
      <c r="B371" s="151"/>
      <c r="C371" s="175"/>
      <c r="D371" s="180"/>
      <c r="E371" s="155"/>
      <c r="F371" s="151"/>
      <c r="G371" s="152"/>
    </row>
    <row r="372" spans="1:7" x14ac:dyDescent="0.2">
      <c r="A372" s="151"/>
      <c r="B372" s="151"/>
      <c r="C372" s="175"/>
      <c r="D372" s="180"/>
      <c r="E372" s="155"/>
      <c r="F372" s="151"/>
      <c r="G372" s="152"/>
    </row>
    <row r="373" spans="1:7" x14ac:dyDescent="0.2">
      <c r="A373" s="181" t="str">
        <f>Planilha!A79</f>
        <v>8.6</v>
      </c>
      <c r="B373" s="181" t="str">
        <f>Planilha!B79</f>
        <v>15.01.310</v>
      </c>
      <c r="C373" s="181" t="str">
        <f>Planilha!C79</f>
        <v>Estrutura em terças para telhas de barro</v>
      </c>
      <c r="D373" s="181" t="str">
        <f>Planilha!D79</f>
        <v>m²</v>
      </c>
      <c r="E373" s="183">
        <f>D376</f>
        <v>210</v>
      </c>
      <c r="F373" s="181"/>
      <c r="G373" s="190"/>
    </row>
    <row r="374" spans="1:7" x14ac:dyDescent="0.2">
      <c r="A374" s="151"/>
      <c r="B374" s="151"/>
      <c r="C374" s="156"/>
      <c r="D374" s="151"/>
      <c r="E374" s="155"/>
      <c r="F374" s="151"/>
      <c r="G374" s="152"/>
    </row>
    <row r="375" spans="1:7" x14ac:dyDescent="0.2">
      <c r="A375" s="151"/>
      <c r="B375" s="151"/>
      <c r="C375" s="154" t="s">
        <v>218</v>
      </c>
      <c r="D375" s="158" t="s">
        <v>219</v>
      </c>
      <c r="E375" s="155"/>
      <c r="F375" s="151"/>
      <c r="G375" s="152"/>
    </row>
    <row r="376" spans="1:7" x14ac:dyDescent="0.2">
      <c r="A376" s="151"/>
      <c r="B376" s="151"/>
      <c r="C376" s="175" t="s">
        <v>293</v>
      </c>
      <c r="D376" s="180">
        <v>210</v>
      </c>
      <c r="E376" s="155"/>
      <c r="F376" s="151"/>
      <c r="G376" s="152"/>
    </row>
    <row r="377" spans="1:7" x14ac:dyDescent="0.2">
      <c r="A377" s="151"/>
      <c r="B377" s="151"/>
      <c r="C377" s="175"/>
      <c r="D377" s="180"/>
      <c r="E377" s="155"/>
      <c r="F377" s="151"/>
      <c r="G377" s="152"/>
    </row>
    <row r="378" spans="1:7" x14ac:dyDescent="0.2">
      <c r="A378" s="181" t="str">
        <f>Planilha!A80</f>
        <v>8.7</v>
      </c>
      <c r="B378" s="181" t="str">
        <f>Planilha!B80</f>
        <v>16.40.120</v>
      </c>
      <c r="C378" s="181" t="str">
        <f>Planilha!C80</f>
        <v>Recolocação de telhas de barro tipo francesa</v>
      </c>
      <c r="D378" s="181" t="str">
        <f>Planilha!D80</f>
        <v>m²</v>
      </c>
      <c r="E378" s="183">
        <f>F381</f>
        <v>458.62200000000001</v>
      </c>
      <c r="F378" s="181"/>
      <c r="G378" s="190"/>
    </row>
    <row r="379" spans="1:7" x14ac:dyDescent="0.2">
      <c r="A379" s="151"/>
      <c r="B379" s="151"/>
      <c r="C379" s="175"/>
      <c r="D379" s="180"/>
      <c r="E379" s="155"/>
      <c r="F379" s="151"/>
      <c r="G379" s="152"/>
    </row>
    <row r="380" spans="1:7" x14ac:dyDescent="0.2">
      <c r="A380" s="151"/>
      <c r="B380" s="151"/>
      <c r="C380" s="154" t="s">
        <v>218</v>
      </c>
      <c r="D380" s="158" t="s">
        <v>219</v>
      </c>
      <c r="E380" s="159" t="s">
        <v>326</v>
      </c>
      <c r="F380" s="151"/>
      <c r="G380" s="152"/>
    </row>
    <row r="381" spans="1:7" x14ac:dyDescent="0.2">
      <c r="A381" s="151"/>
      <c r="B381" s="151"/>
      <c r="C381" s="175" t="s">
        <v>293</v>
      </c>
      <c r="D381" s="180">
        <v>424.65</v>
      </c>
      <c r="E381" s="155">
        <v>0.08</v>
      </c>
      <c r="F381" s="151">
        <f>D381*1.08</f>
        <v>458.62200000000001</v>
      </c>
      <c r="G381" s="152"/>
    </row>
    <row r="382" spans="1:7" x14ac:dyDescent="0.2">
      <c r="A382" s="151"/>
      <c r="B382" s="151"/>
      <c r="C382" s="156"/>
      <c r="D382" s="151"/>
      <c r="E382" s="155"/>
      <c r="F382" s="151"/>
      <c r="G382" s="152"/>
    </row>
    <row r="383" spans="1:7" s="139" customFormat="1" x14ac:dyDescent="0.2">
      <c r="A383" s="181">
        <f>Planilha!A82</f>
        <v>9</v>
      </c>
      <c r="B383" s="181"/>
      <c r="C383" s="182" t="str">
        <f>Planilha!C82</f>
        <v>ELÉTRICA</v>
      </c>
      <c r="D383" s="181"/>
      <c r="E383" s="183"/>
      <c r="F383" s="181"/>
      <c r="G383" s="190"/>
    </row>
    <row r="384" spans="1:7" s="139" customFormat="1" ht="25.5" x14ac:dyDescent="0.2">
      <c r="A384" s="181" t="str">
        <f>Planilha!A83</f>
        <v>9.1</v>
      </c>
      <c r="B384" s="181" t="str">
        <f>Planilha!B83</f>
        <v>41.13.102</v>
      </c>
      <c r="C384" s="182" t="str">
        <f>Planilha!C83</f>
        <v>Luminária blindada tipo arandela de 45º e 90º, para lâmpada LED</v>
      </c>
      <c r="D384" s="181" t="str">
        <f>Planilha!D83</f>
        <v>un</v>
      </c>
      <c r="E384" s="183">
        <v>22</v>
      </c>
      <c r="F384" s="181"/>
      <c r="G384" s="190"/>
    </row>
    <row r="385" spans="1:7" x14ac:dyDescent="0.2">
      <c r="A385" s="151"/>
      <c r="B385" s="151"/>
      <c r="C385" s="156"/>
      <c r="D385" s="151"/>
      <c r="E385" s="155"/>
      <c r="F385" s="151"/>
      <c r="G385" s="152"/>
    </row>
    <row r="386" spans="1:7" x14ac:dyDescent="0.2">
      <c r="A386" s="151"/>
      <c r="B386" s="151"/>
      <c r="C386" s="154" t="s">
        <v>266</v>
      </c>
      <c r="D386" s="151"/>
      <c r="E386" s="155"/>
      <c r="F386" s="151"/>
      <c r="G386" s="152"/>
    </row>
    <row r="387" spans="1:7" x14ac:dyDescent="0.2">
      <c r="A387" s="151"/>
      <c r="B387" s="151"/>
      <c r="C387" s="156"/>
      <c r="D387" s="151"/>
      <c r="E387" s="155"/>
      <c r="F387" s="151"/>
      <c r="G387" s="152"/>
    </row>
    <row r="388" spans="1:7" s="139" customFormat="1" x14ac:dyDescent="0.2">
      <c r="A388" s="181" t="str">
        <f>Planilha!A84</f>
        <v>9.2</v>
      </c>
      <c r="B388" s="181" t="str">
        <f>Planilha!B84</f>
        <v>41.02.580</v>
      </c>
      <c r="C388" s="186" t="str">
        <f>Planilha!C84</f>
        <v>Lâmpada LED 13,5W, com base E-27, 1400 até 1510lm</v>
      </c>
      <c r="D388" s="181" t="str">
        <f>Planilha!D84</f>
        <v>un</v>
      </c>
      <c r="E388" s="183">
        <v>22</v>
      </c>
      <c r="F388" s="181"/>
      <c r="G388" s="190"/>
    </row>
    <row r="389" spans="1:7" x14ac:dyDescent="0.2">
      <c r="A389" s="151"/>
      <c r="B389" s="151"/>
      <c r="C389" s="156"/>
      <c r="D389" s="151"/>
      <c r="E389" s="155"/>
      <c r="F389" s="151"/>
      <c r="G389" s="152"/>
    </row>
    <row r="390" spans="1:7" x14ac:dyDescent="0.2">
      <c r="A390" s="151"/>
      <c r="B390" s="151"/>
      <c r="C390" s="154" t="s">
        <v>267</v>
      </c>
      <c r="D390" s="151"/>
      <c r="E390" s="155"/>
      <c r="F390" s="151"/>
      <c r="G390" s="152"/>
    </row>
    <row r="391" spans="1:7" x14ac:dyDescent="0.2">
      <c r="A391" s="151"/>
      <c r="B391" s="151"/>
      <c r="C391" s="156"/>
      <c r="D391" s="151"/>
      <c r="E391" s="155"/>
      <c r="F391" s="151"/>
      <c r="G391" s="152"/>
    </row>
    <row r="392" spans="1:7" s="177" customFormat="1" ht="38.25" x14ac:dyDescent="0.2">
      <c r="A392" s="181" t="str">
        <f>Planilha!A85</f>
        <v>9.3</v>
      </c>
      <c r="B392" s="186" t="str">
        <f>Planilha!B85</f>
        <v>41.14.510</v>
      </c>
      <c r="C392" s="182" t="str">
        <f>Planilha!C85</f>
        <v>Luminária industrial pendente com refletor prismático sem alojamento para reator, para lâmpadas vapor de sódio/metálico ou mista de 150/250/400W</v>
      </c>
      <c r="D392" s="181" t="str">
        <f>Planilha!D85</f>
        <v>un</v>
      </c>
      <c r="E392" s="183">
        <v>25</v>
      </c>
      <c r="F392" s="181"/>
      <c r="G392" s="190"/>
    </row>
    <row r="393" spans="1:7" x14ac:dyDescent="0.2">
      <c r="A393" s="151"/>
      <c r="B393" s="151"/>
      <c r="C393" s="156"/>
      <c r="D393" s="151"/>
      <c r="E393" s="155"/>
      <c r="F393" s="151"/>
      <c r="G393" s="152"/>
    </row>
    <row r="394" spans="1:7" x14ac:dyDescent="0.2">
      <c r="A394" s="151"/>
      <c r="B394" s="151"/>
      <c r="C394" s="154" t="s">
        <v>268</v>
      </c>
      <c r="D394" s="151"/>
      <c r="E394" s="155"/>
      <c r="F394" s="151"/>
      <c r="G394" s="152"/>
    </row>
    <row r="395" spans="1:7" x14ac:dyDescent="0.2">
      <c r="A395" s="151"/>
      <c r="B395" s="151"/>
      <c r="C395" s="156"/>
      <c r="D395" s="151"/>
      <c r="E395" s="155"/>
      <c r="F395" s="151"/>
      <c r="G395" s="152"/>
    </row>
    <row r="396" spans="1:7" s="139" customFormat="1" ht="25.5" x14ac:dyDescent="0.2">
      <c r="A396" s="181" t="str">
        <f>Planilha!A86</f>
        <v>9.4</v>
      </c>
      <c r="B396" s="181" t="str">
        <f>Planilha!B86</f>
        <v>39.03.170</v>
      </c>
      <c r="C396" s="182" t="str">
        <f>Planilha!C86</f>
        <v>Cabo de cobre de 2,5 mm², isolamento 0,6/1 kV - isolação em PVC 70°C</v>
      </c>
      <c r="D396" s="181" t="str">
        <f>Planilha!D86</f>
        <v>m</v>
      </c>
      <c r="E396" s="183">
        <v>450</v>
      </c>
      <c r="F396" s="181"/>
      <c r="G396" s="190"/>
    </row>
    <row r="397" spans="1:7" x14ac:dyDescent="0.2">
      <c r="A397" s="151"/>
      <c r="B397" s="151"/>
      <c r="C397" s="156"/>
      <c r="D397" s="151"/>
      <c r="E397" s="155"/>
      <c r="F397" s="151"/>
      <c r="G397" s="152"/>
    </row>
    <row r="398" spans="1:7" ht="25.5" x14ac:dyDescent="0.2">
      <c r="A398" s="151"/>
      <c r="B398" s="151"/>
      <c r="C398" s="154" t="s">
        <v>269</v>
      </c>
      <c r="D398" s="151"/>
      <c r="E398" s="155"/>
      <c r="F398" s="151"/>
      <c r="G398" s="152"/>
    </row>
    <row r="399" spans="1:7" x14ac:dyDescent="0.2">
      <c r="A399" s="151"/>
      <c r="B399" s="151"/>
      <c r="C399" s="156"/>
      <c r="D399" s="151"/>
      <c r="E399" s="155"/>
      <c r="F399" s="151"/>
      <c r="G399" s="152"/>
    </row>
    <row r="400" spans="1:7" s="139" customFormat="1" x14ac:dyDescent="0.2">
      <c r="A400" s="181" t="str">
        <f>Planilha!A87</f>
        <v>9.5</v>
      </c>
      <c r="B400" s="181" t="str">
        <f>Planilha!B87</f>
        <v>38.01.040</v>
      </c>
      <c r="C400" s="182" t="str">
        <f>Planilha!C87</f>
        <v>Eletroduto de PVC rígido roscável de 3/4´ - com acessórios</v>
      </c>
      <c r="D400" s="181" t="str">
        <f>Planilha!D87</f>
        <v>m</v>
      </c>
      <c r="E400" s="183">
        <v>150</v>
      </c>
      <c r="F400" s="181"/>
      <c r="G400" s="190"/>
    </row>
    <row r="401" spans="1:7" x14ac:dyDescent="0.2">
      <c r="A401" s="151"/>
      <c r="B401" s="151"/>
      <c r="C401" s="156"/>
      <c r="D401" s="151"/>
      <c r="E401" s="155"/>
      <c r="F401" s="151"/>
      <c r="G401" s="152"/>
    </row>
    <row r="402" spans="1:7" ht="25.5" x14ac:dyDescent="0.2">
      <c r="A402" s="151"/>
      <c r="B402" s="151"/>
      <c r="C402" s="154" t="s">
        <v>270</v>
      </c>
      <c r="D402" s="151"/>
      <c r="E402" s="155"/>
      <c r="F402" s="151"/>
      <c r="G402" s="152"/>
    </row>
    <row r="403" spans="1:7" x14ac:dyDescent="0.2">
      <c r="A403" s="151"/>
      <c r="B403" s="151"/>
      <c r="C403" s="156"/>
      <c r="D403" s="151"/>
      <c r="E403" s="155"/>
      <c r="F403" s="151"/>
      <c r="G403" s="152"/>
    </row>
    <row r="404" spans="1:7" s="139" customFormat="1" ht="25.5" x14ac:dyDescent="0.2">
      <c r="A404" s="181" t="str">
        <f>Planilha!A88</f>
        <v>9.6</v>
      </c>
      <c r="B404" s="181" t="str">
        <f>Planilha!B88</f>
        <v>37.13.600</v>
      </c>
      <c r="C404" s="182" t="str">
        <f>Planilha!C88</f>
        <v>Disjuntor termomagnético, unipolar 127/220 V, corrente de 10 A até 30 A</v>
      </c>
      <c r="D404" s="181" t="str">
        <f>Planilha!D88</f>
        <v>un</v>
      </c>
      <c r="E404" s="183">
        <v>2</v>
      </c>
      <c r="F404" s="181"/>
      <c r="G404" s="190"/>
    </row>
    <row r="405" spans="1:7" x14ac:dyDescent="0.2">
      <c r="A405" s="151"/>
      <c r="B405" s="151"/>
      <c r="C405" s="156"/>
      <c r="D405" s="151"/>
      <c r="E405" s="155"/>
      <c r="F405" s="151"/>
      <c r="G405" s="152"/>
    </row>
    <row r="406" spans="1:7" ht="25.5" x14ac:dyDescent="0.2">
      <c r="A406" s="151"/>
      <c r="B406" s="151"/>
      <c r="C406" s="154" t="s">
        <v>271</v>
      </c>
      <c r="D406" s="151"/>
      <c r="E406" s="155"/>
      <c r="F406" s="151"/>
      <c r="G406" s="152"/>
    </row>
    <row r="407" spans="1:7" x14ac:dyDescent="0.2">
      <c r="A407" s="151"/>
      <c r="B407" s="151"/>
      <c r="C407" s="156"/>
      <c r="D407" s="151"/>
      <c r="E407" s="155"/>
      <c r="F407" s="151"/>
      <c r="G407" s="152"/>
    </row>
    <row r="408" spans="1:7" s="139" customFormat="1" x14ac:dyDescent="0.2">
      <c r="A408" s="181" t="str">
        <f>Planilha!A89</f>
        <v>9.7</v>
      </c>
      <c r="B408" s="181" t="str">
        <f>Planilha!B89</f>
        <v>40.07.010</v>
      </c>
      <c r="C408" s="182" t="str">
        <f>Planilha!C89</f>
        <v>Caixa em PVC de 4´ x 2´</v>
      </c>
      <c r="D408" s="181" t="str">
        <f>Planilha!D89</f>
        <v>un</v>
      </c>
      <c r="E408" s="183">
        <v>47</v>
      </c>
      <c r="F408" s="181"/>
      <c r="G408" s="190"/>
    </row>
    <row r="409" spans="1:7" x14ac:dyDescent="0.2">
      <c r="A409" s="151"/>
      <c r="B409" s="151"/>
      <c r="C409" s="156"/>
      <c r="D409" s="151"/>
      <c r="E409" s="155"/>
      <c r="F409" s="151"/>
      <c r="G409" s="152"/>
    </row>
    <row r="410" spans="1:7" ht="25.5" x14ac:dyDescent="0.2">
      <c r="A410" s="151"/>
      <c r="B410" s="151"/>
      <c r="C410" s="154" t="s">
        <v>272</v>
      </c>
      <c r="D410" s="151"/>
      <c r="E410" s="155"/>
      <c r="F410" s="151"/>
      <c r="G410" s="152"/>
    </row>
    <row r="411" spans="1:7" x14ac:dyDescent="0.2">
      <c r="A411" s="151"/>
      <c r="B411" s="151"/>
      <c r="C411" s="156"/>
      <c r="D411" s="151"/>
      <c r="E411" s="155"/>
      <c r="F411" s="151"/>
      <c r="G411" s="152"/>
    </row>
    <row r="412" spans="1:7" x14ac:dyDescent="0.2">
      <c r="A412" s="151"/>
      <c r="B412" s="151"/>
      <c r="C412" s="156"/>
      <c r="D412" s="151"/>
      <c r="E412" s="155"/>
      <c r="F412" s="151"/>
      <c r="G412" s="152"/>
    </row>
    <row r="413" spans="1:7" x14ac:dyDescent="0.2">
      <c r="A413" s="151"/>
      <c r="B413" s="151"/>
      <c r="C413" s="156"/>
      <c r="D413" s="151"/>
      <c r="E413" s="155"/>
      <c r="F413" s="151"/>
      <c r="G413" s="152"/>
    </row>
    <row r="414" spans="1:7" s="139" customFormat="1" x14ac:dyDescent="0.2">
      <c r="A414" s="181">
        <f>Planilha!A91</f>
        <v>10</v>
      </c>
      <c r="B414" s="181"/>
      <c r="C414" s="181" t="str">
        <f>Planilha!C91</f>
        <v>Construção de Banheiros</v>
      </c>
      <c r="D414" s="181"/>
      <c r="E414" s="181"/>
      <c r="F414" s="181"/>
      <c r="G414" s="190"/>
    </row>
    <row r="415" spans="1:7" s="139" customFormat="1" ht="25.5" x14ac:dyDescent="0.2">
      <c r="A415" s="181" t="str">
        <f>Planilha!A92</f>
        <v>10.1</v>
      </c>
      <c r="B415" s="181" t="str">
        <f>Planilha!B92</f>
        <v>44.01.800</v>
      </c>
      <c r="C415" s="197" t="str">
        <f>Planilha!C92</f>
        <v>Bacia sifonada com caixa de descarga acoplada sem tampa - 6 litros</v>
      </c>
      <c r="D415" s="181" t="str">
        <f>Planilha!D92</f>
        <v>cj</v>
      </c>
      <c r="E415" s="181">
        <f>Planilha!E92</f>
        <v>2</v>
      </c>
      <c r="F415" s="181"/>
      <c r="G415" s="190"/>
    </row>
    <row r="416" spans="1:7" x14ac:dyDescent="0.2">
      <c r="A416" s="151"/>
      <c r="B416" s="151"/>
      <c r="C416" s="151"/>
      <c r="D416" s="151"/>
      <c r="E416" s="151"/>
      <c r="F416" s="151"/>
      <c r="G416" s="152"/>
    </row>
    <row r="417" spans="1:7" x14ac:dyDescent="0.2">
      <c r="A417" s="151"/>
      <c r="B417" s="151"/>
      <c r="C417" s="158" t="s">
        <v>309</v>
      </c>
      <c r="D417" s="151"/>
      <c r="E417" s="151"/>
      <c r="F417" s="151"/>
      <c r="G417" s="152"/>
    </row>
    <row r="418" spans="1:7" x14ac:dyDescent="0.2">
      <c r="A418" s="151"/>
      <c r="B418" s="151"/>
      <c r="C418" s="151"/>
      <c r="D418" s="151"/>
      <c r="E418" s="151"/>
      <c r="F418" s="151"/>
      <c r="G418" s="152"/>
    </row>
    <row r="419" spans="1:7" s="139" customFormat="1" x14ac:dyDescent="0.2">
      <c r="A419" s="181" t="str">
        <f>Planilha!A93</f>
        <v>10.2</v>
      </c>
      <c r="B419" s="181" t="str">
        <f>Planilha!B93</f>
        <v>44.20.280</v>
      </c>
      <c r="C419" s="181" t="str">
        <f>Planilha!C93</f>
        <v>Tampa de plástico para bacia sanitária</v>
      </c>
      <c r="D419" s="181" t="str">
        <f>Planilha!D93</f>
        <v>un</v>
      </c>
      <c r="E419" s="181">
        <f>Planilha!E93</f>
        <v>2</v>
      </c>
      <c r="F419" s="181"/>
      <c r="G419" s="190"/>
    </row>
    <row r="420" spans="1:7" x14ac:dyDescent="0.2">
      <c r="A420" s="151"/>
      <c r="B420" s="151"/>
      <c r="C420" s="151"/>
      <c r="D420" s="151"/>
      <c r="E420" s="151"/>
      <c r="F420" s="151"/>
      <c r="G420" s="152"/>
    </row>
    <row r="421" spans="1:7" x14ac:dyDescent="0.2">
      <c r="A421" s="151"/>
      <c r="B421" s="151"/>
      <c r="C421" s="158" t="s">
        <v>310</v>
      </c>
      <c r="D421" s="151"/>
      <c r="E421" s="151"/>
      <c r="F421" s="151"/>
      <c r="G421" s="152"/>
    </row>
    <row r="422" spans="1:7" x14ac:dyDescent="0.2">
      <c r="A422" s="151"/>
      <c r="B422" s="151"/>
      <c r="C422" s="151"/>
      <c r="D422" s="151"/>
      <c r="E422" s="151"/>
      <c r="F422" s="151"/>
      <c r="G422" s="152"/>
    </row>
    <row r="423" spans="1:7" x14ac:dyDescent="0.2">
      <c r="A423" s="181" t="str">
        <f>Planilha!A94</f>
        <v>10.3</v>
      </c>
      <c r="B423" s="181" t="str">
        <f>Planilha!B94</f>
        <v>44.01.110</v>
      </c>
      <c r="C423" s="181" t="str">
        <f>Planilha!C94</f>
        <v>Lavatório de louça com coluna</v>
      </c>
      <c r="D423" s="181" t="str">
        <f>Planilha!D94</f>
        <v>un</v>
      </c>
      <c r="E423" s="181">
        <f>Planilha!E94</f>
        <v>2</v>
      </c>
      <c r="F423" s="181"/>
      <c r="G423" s="190"/>
    </row>
    <row r="424" spans="1:7" x14ac:dyDescent="0.2">
      <c r="A424" s="151"/>
      <c r="B424" s="151"/>
      <c r="C424" s="151"/>
      <c r="D424" s="151"/>
      <c r="E424" s="151"/>
      <c r="F424" s="151"/>
      <c r="G424" s="152"/>
    </row>
    <row r="425" spans="1:7" x14ac:dyDescent="0.2">
      <c r="A425" s="151"/>
      <c r="B425" s="151"/>
      <c r="C425" s="158" t="s">
        <v>311</v>
      </c>
      <c r="D425" s="151"/>
      <c r="E425" s="151"/>
      <c r="F425" s="151"/>
      <c r="G425" s="152"/>
    </row>
    <row r="426" spans="1:7" x14ac:dyDescent="0.2">
      <c r="A426" s="151"/>
      <c r="B426" s="151"/>
      <c r="C426" s="151"/>
      <c r="D426" s="151"/>
      <c r="E426" s="151"/>
      <c r="F426" s="151"/>
      <c r="G426" s="152"/>
    </row>
    <row r="427" spans="1:7" ht="25.5" x14ac:dyDescent="0.2">
      <c r="A427" s="181" t="str">
        <f>Planilha!A95</f>
        <v>10.4</v>
      </c>
      <c r="B427" s="181" t="str">
        <f>Planilha!B95</f>
        <v>14.04.210</v>
      </c>
      <c r="C427" s="197" t="str">
        <f>Planilha!C95</f>
        <v>Alvenaria de bloco cerâmico de vedação, uso revestido, de 14 cm</v>
      </c>
      <c r="D427" s="181" t="str">
        <f>Planilha!D95</f>
        <v>m²</v>
      </c>
      <c r="E427" s="181">
        <f>(2.7+2)*2.8</f>
        <v>13.16</v>
      </c>
      <c r="F427" s="181"/>
      <c r="G427" s="190"/>
    </row>
    <row r="428" spans="1:7" x14ac:dyDescent="0.2">
      <c r="A428" s="151"/>
      <c r="B428" s="151"/>
      <c r="C428" s="151"/>
      <c r="D428" s="158" t="s">
        <v>222</v>
      </c>
      <c r="E428" s="158" t="s">
        <v>223</v>
      </c>
      <c r="F428" s="151"/>
      <c r="G428" s="152"/>
    </row>
    <row r="429" spans="1:7" x14ac:dyDescent="0.2">
      <c r="A429" s="151"/>
      <c r="B429" s="151"/>
      <c r="C429" s="158" t="s">
        <v>312</v>
      </c>
      <c r="D429" s="158" t="s">
        <v>313</v>
      </c>
      <c r="E429" s="151">
        <v>2.8</v>
      </c>
      <c r="F429" s="151"/>
      <c r="G429" s="152"/>
    </row>
    <row r="430" spans="1:7" x14ac:dyDescent="0.2">
      <c r="A430" s="151"/>
      <c r="B430" s="151"/>
      <c r="C430" s="151"/>
      <c r="D430" s="151"/>
      <c r="E430" s="151"/>
      <c r="F430" s="151"/>
      <c r="G430" s="152"/>
    </row>
    <row r="431" spans="1:7" x14ac:dyDescent="0.2">
      <c r="A431" s="151"/>
      <c r="B431" s="151"/>
      <c r="C431" s="151"/>
      <c r="D431" s="151"/>
      <c r="E431" s="151"/>
      <c r="F431" s="151"/>
      <c r="G431" s="152"/>
    </row>
    <row r="432" spans="1:7" x14ac:dyDescent="0.2">
      <c r="A432" s="151"/>
      <c r="B432" s="151"/>
      <c r="C432" s="151"/>
      <c r="D432" s="151"/>
      <c r="E432" s="151"/>
      <c r="F432" s="151"/>
      <c r="G432" s="152"/>
    </row>
    <row r="433" spans="1:7" x14ac:dyDescent="0.2">
      <c r="A433" s="151"/>
      <c r="B433" s="151"/>
      <c r="C433" s="151"/>
      <c r="D433" s="151"/>
      <c r="E433" s="151"/>
      <c r="F433" s="151"/>
      <c r="G433" s="152"/>
    </row>
    <row r="434" spans="1:7" x14ac:dyDescent="0.2">
      <c r="A434" s="151"/>
      <c r="B434" s="151"/>
      <c r="C434" s="151"/>
      <c r="D434" s="151"/>
      <c r="E434" s="151"/>
      <c r="F434" s="151"/>
      <c r="G434" s="152"/>
    </row>
    <row r="435" spans="1:7" x14ac:dyDescent="0.2">
      <c r="A435" s="181" t="str">
        <f>Planilha!A96</f>
        <v>10.5</v>
      </c>
      <c r="B435" s="181" t="str">
        <f>Planilha!B96</f>
        <v>17.02.020</v>
      </c>
      <c r="C435" s="181" t="str">
        <f>Planilha!C96</f>
        <v>Chapisco</v>
      </c>
      <c r="D435" s="181" t="str">
        <f>Planilha!D96</f>
        <v>m²</v>
      </c>
      <c r="E435" s="181">
        <f>(2.7+2)*2.8*2</f>
        <v>26.32</v>
      </c>
      <c r="F435" s="181"/>
      <c r="G435" s="190"/>
    </row>
    <row r="436" spans="1:7" x14ac:dyDescent="0.2">
      <c r="A436" s="151"/>
      <c r="B436" s="151"/>
      <c r="C436" s="151"/>
      <c r="D436" s="151"/>
      <c r="E436" s="151"/>
      <c r="F436" s="151"/>
      <c r="G436" s="152"/>
    </row>
    <row r="437" spans="1:7" x14ac:dyDescent="0.2">
      <c r="A437" s="151"/>
      <c r="B437" s="151"/>
      <c r="C437" s="151"/>
      <c r="D437" s="158" t="s">
        <v>222</v>
      </c>
      <c r="E437" s="158" t="s">
        <v>223</v>
      </c>
      <c r="F437" s="151"/>
      <c r="G437" s="152"/>
    </row>
    <row r="438" spans="1:7" x14ac:dyDescent="0.2">
      <c r="A438" s="151"/>
      <c r="B438" s="151"/>
      <c r="C438" s="158" t="s">
        <v>314</v>
      </c>
      <c r="D438" s="158" t="s">
        <v>313</v>
      </c>
      <c r="E438" s="151">
        <v>2.8</v>
      </c>
      <c r="F438" s="151"/>
      <c r="G438" s="152"/>
    </row>
    <row r="439" spans="1:7" x14ac:dyDescent="0.2">
      <c r="A439" s="151"/>
      <c r="B439" s="151"/>
      <c r="C439" s="151"/>
      <c r="D439" s="151"/>
      <c r="E439" s="151"/>
      <c r="F439" s="151"/>
      <c r="G439" s="152"/>
    </row>
    <row r="440" spans="1:7" x14ac:dyDescent="0.2">
      <c r="A440" s="181" t="str">
        <f>Planilha!A97</f>
        <v>10.6</v>
      </c>
      <c r="B440" s="181" t="str">
        <f>Planilha!B97</f>
        <v>17.02.140</v>
      </c>
      <c r="C440" s="181" t="str">
        <f>Planilha!C97</f>
        <v>Emboço desempenado com espuma de poliéster</v>
      </c>
      <c r="D440" s="181" t="str">
        <f>Planilha!D97</f>
        <v>m²</v>
      </c>
      <c r="E440" s="181">
        <f>E435</f>
        <v>26.32</v>
      </c>
      <c r="F440" s="181"/>
      <c r="G440" s="190"/>
    </row>
    <row r="441" spans="1:7" x14ac:dyDescent="0.2">
      <c r="A441" s="151"/>
      <c r="B441" s="151"/>
      <c r="C441" s="151"/>
      <c r="D441" s="151"/>
      <c r="E441" s="151"/>
      <c r="F441" s="151"/>
      <c r="G441" s="152"/>
    </row>
    <row r="442" spans="1:7" x14ac:dyDescent="0.2">
      <c r="A442" s="151"/>
      <c r="B442" s="151"/>
      <c r="C442" s="151"/>
      <c r="D442" s="158" t="s">
        <v>222</v>
      </c>
      <c r="E442" s="158" t="s">
        <v>223</v>
      </c>
      <c r="F442" s="151"/>
      <c r="G442" s="152"/>
    </row>
    <row r="443" spans="1:7" x14ac:dyDescent="0.2">
      <c r="A443" s="151"/>
      <c r="B443" s="151"/>
      <c r="C443" s="158" t="s">
        <v>314</v>
      </c>
      <c r="D443" s="158" t="s">
        <v>313</v>
      </c>
      <c r="E443" s="151">
        <v>2.8</v>
      </c>
      <c r="F443" s="151"/>
      <c r="G443" s="152"/>
    </row>
    <row r="444" spans="1:7" x14ac:dyDescent="0.2">
      <c r="A444" s="151"/>
      <c r="B444" s="151"/>
      <c r="C444" s="151"/>
      <c r="D444" s="151"/>
      <c r="E444" s="151"/>
      <c r="F444" s="151"/>
      <c r="G444" s="152"/>
    </row>
    <row r="445" spans="1:7" ht="38.25" x14ac:dyDescent="0.2">
      <c r="A445" s="197" t="str">
        <f>Planilha!A98</f>
        <v>10.7</v>
      </c>
      <c r="B445" s="197" t="str">
        <f>Planilha!B98</f>
        <v>18.11.042</v>
      </c>
      <c r="C445" s="197" t="str">
        <f>Planilha!C98</f>
        <v>Revestimento em placa cerâmica esmaltada de 20x20 cm, tipo monocolor, assentado e rejuntado com argamassa industrializada</v>
      </c>
      <c r="D445" s="197" t="str">
        <f>Planilha!D98</f>
        <v>m²</v>
      </c>
      <c r="E445" s="205">
        <f>F450</f>
        <v>35.424000000000007</v>
      </c>
      <c r="F445" s="197"/>
      <c r="G445" s="203"/>
    </row>
    <row r="446" spans="1:7" x14ac:dyDescent="0.2">
      <c r="A446" s="151"/>
      <c r="B446" s="151"/>
      <c r="C446" s="151"/>
      <c r="D446" s="151"/>
      <c r="E446" s="151"/>
      <c r="F446" s="151"/>
      <c r="G446" s="152"/>
    </row>
    <row r="447" spans="1:7" x14ac:dyDescent="0.2">
      <c r="A447" s="151"/>
      <c r="B447" s="151"/>
      <c r="C447" s="151"/>
      <c r="D447" s="158" t="s">
        <v>222</v>
      </c>
      <c r="E447" s="158" t="s">
        <v>223</v>
      </c>
      <c r="F447" s="158" t="s">
        <v>219</v>
      </c>
      <c r="G447" s="152"/>
    </row>
    <row r="448" spans="1:7" x14ac:dyDescent="0.2">
      <c r="A448" s="151"/>
      <c r="B448" s="151"/>
      <c r="C448" s="158" t="s">
        <v>315</v>
      </c>
      <c r="D448" s="158" t="s">
        <v>317</v>
      </c>
      <c r="E448" s="151">
        <v>2.7</v>
      </c>
      <c r="F448" s="151">
        <f>(1.28+2+1.28+2)*2.7</f>
        <v>17.712000000000003</v>
      </c>
      <c r="G448" s="152"/>
    </row>
    <row r="449" spans="1:7" x14ac:dyDescent="0.2">
      <c r="A449" s="151"/>
      <c r="B449" s="151"/>
      <c r="C449" s="158" t="s">
        <v>316</v>
      </c>
      <c r="D449" s="158" t="s">
        <v>317</v>
      </c>
      <c r="E449" s="151">
        <v>2.7</v>
      </c>
      <c r="F449" s="151">
        <f>(1.28+2+1.28+2)*2.7</f>
        <v>17.712000000000003</v>
      </c>
      <c r="G449" s="152"/>
    </row>
    <row r="450" spans="1:7" x14ac:dyDescent="0.2">
      <c r="A450" s="151"/>
      <c r="B450" s="151"/>
      <c r="C450" s="151"/>
      <c r="D450" s="151"/>
      <c r="E450" s="151"/>
      <c r="F450" s="151">
        <f>SUM(F448:F449)</f>
        <v>35.424000000000007</v>
      </c>
      <c r="G450" s="152"/>
    </row>
    <row r="451" spans="1:7" ht="38.25" x14ac:dyDescent="0.2">
      <c r="A451" s="197" t="str">
        <f>Planilha!A99</f>
        <v>10.8</v>
      </c>
      <c r="B451" s="197" t="str">
        <f>Planilha!B99</f>
        <v>18.06.222</v>
      </c>
      <c r="C451" s="197" t="str">
        <f>Planilha!C99</f>
        <v>Placa cerâmica esmaltada PEI-5 para área externa, grupo de absorção BIIb, resistência química B, assentado com argamassa colante industrializada</v>
      </c>
      <c r="D451" s="197" t="str">
        <f>Planilha!D99</f>
        <v>m²</v>
      </c>
      <c r="E451" s="197">
        <f>D457</f>
        <v>7.6</v>
      </c>
      <c r="F451" s="197"/>
      <c r="G451" s="203"/>
    </row>
    <row r="452" spans="1:7" x14ac:dyDescent="0.2">
      <c r="A452" s="151"/>
      <c r="B452" s="151"/>
      <c r="C452" s="151"/>
      <c r="D452" s="151"/>
      <c r="E452" s="151"/>
      <c r="F452" s="151"/>
      <c r="G452" s="152"/>
    </row>
    <row r="453" spans="1:7" x14ac:dyDescent="0.2">
      <c r="A453" s="151"/>
      <c r="B453" s="151"/>
      <c r="C453" s="151"/>
      <c r="D453" s="158" t="s">
        <v>219</v>
      </c>
      <c r="E453" s="151"/>
      <c r="F453" s="151"/>
      <c r="G453" s="152"/>
    </row>
    <row r="454" spans="1:7" x14ac:dyDescent="0.2">
      <c r="A454" s="151"/>
      <c r="B454" s="151"/>
      <c r="C454" s="158" t="s">
        <v>315</v>
      </c>
      <c r="D454" s="151">
        <v>2.5499999999999998</v>
      </c>
      <c r="E454" s="151"/>
      <c r="F454" s="151"/>
      <c r="G454" s="152"/>
    </row>
    <row r="455" spans="1:7" x14ac:dyDescent="0.2">
      <c r="A455" s="151"/>
      <c r="B455" s="151"/>
      <c r="C455" s="158" t="s">
        <v>316</v>
      </c>
      <c r="D455" s="151">
        <v>2.5499999999999998</v>
      </c>
      <c r="E455" s="151"/>
      <c r="F455" s="151"/>
      <c r="G455" s="152"/>
    </row>
    <row r="456" spans="1:7" x14ac:dyDescent="0.2">
      <c r="A456" s="151"/>
      <c r="B456" s="151"/>
      <c r="C456" s="158" t="s">
        <v>319</v>
      </c>
      <c r="D456" s="151">
        <v>2.5</v>
      </c>
      <c r="E456" s="151"/>
      <c r="F456" s="151"/>
      <c r="G456" s="152"/>
    </row>
    <row r="457" spans="1:7" x14ac:dyDescent="0.2">
      <c r="A457" s="151"/>
      <c r="B457" s="151"/>
      <c r="C457" s="158" t="s">
        <v>221</v>
      </c>
      <c r="D457" s="151">
        <f>SUM(D454:D456)</f>
        <v>7.6</v>
      </c>
      <c r="E457" s="151"/>
      <c r="F457" s="151"/>
      <c r="G457" s="152"/>
    </row>
    <row r="458" spans="1:7" x14ac:dyDescent="0.2">
      <c r="A458" s="151"/>
      <c r="B458" s="151"/>
      <c r="C458" s="151"/>
      <c r="D458" s="151"/>
      <c r="E458" s="151"/>
      <c r="F458" s="151"/>
      <c r="G458" s="152"/>
    </row>
    <row r="459" spans="1:7" ht="25.5" x14ac:dyDescent="0.2">
      <c r="A459" s="197" t="str">
        <f>Planilha!A100</f>
        <v>10.9</v>
      </c>
      <c r="B459" s="197" t="str">
        <f>Planilha!B100</f>
        <v>17.05.020</v>
      </c>
      <c r="C459" s="197" t="str">
        <f>Planilha!C100</f>
        <v>Contrapiso com requadro em concreto simples sem controle de fck</v>
      </c>
      <c r="D459" s="197" t="str">
        <f>Planilha!D100</f>
        <v>m³</v>
      </c>
      <c r="E459" s="197">
        <f>F465</f>
        <v>0.76</v>
      </c>
      <c r="F459" s="197"/>
      <c r="G459" s="203"/>
    </row>
    <row r="460" spans="1:7" x14ac:dyDescent="0.2">
      <c r="A460" s="151"/>
      <c r="B460" s="151"/>
      <c r="C460" s="151"/>
      <c r="D460" s="151"/>
      <c r="E460" s="151"/>
      <c r="F460" s="151"/>
      <c r="G460" s="152"/>
    </row>
    <row r="461" spans="1:7" x14ac:dyDescent="0.2">
      <c r="A461" s="151"/>
      <c r="B461" s="151"/>
      <c r="C461" s="151"/>
      <c r="D461" s="158" t="s">
        <v>219</v>
      </c>
      <c r="E461" s="158" t="s">
        <v>223</v>
      </c>
      <c r="F461" s="158" t="s">
        <v>320</v>
      </c>
      <c r="G461" s="152"/>
    </row>
    <row r="462" spans="1:7" x14ac:dyDescent="0.2">
      <c r="A462" s="151"/>
      <c r="B462" s="151"/>
      <c r="C462" s="158" t="s">
        <v>315</v>
      </c>
      <c r="D462" s="151">
        <v>2.5499999999999998</v>
      </c>
      <c r="E462" s="151">
        <v>0.1</v>
      </c>
      <c r="F462" s="151">
        <f>D462*E462</f>
        <v>0.255</v>
      </c>
      <c r="G462" s="152"/>
    </row>
    <row r="463" spans="1:7" x14ac:dyDescent="0.2">
      <c r="A463" s="151"/>
      <c r="B463" s="151"/>
      <c r="C463" s="158" t="s">
        <v>316</v>
      </c>
      <c r="D463" s="151">
        <v>2.5499999999999998</v>
      </c>
      <c r="E463" s="151">
        <v>0.1</v>
      </c>
      <c r="F463" s="151">
        <f>D463*E463</f>
        <v>0.255</v>
      </c>
      <c r="G463" s="152"/>
    </row>
    <row r="464" spans="1:7" x14ac:dyDescent="0.2">
      <c r="A464" s="151"/>
      <c r="B464" s="151"/>
      <c r="C464" s="158" t="s">
        <v>319</v>
      </c>
      <c r="D464" s="151">
        <v>2.5</v>
      </c>
      <c r="E464" s="151">
        <v>0.1</v>
      </c>
      <c r="F464" s="151">
        <f>D464*E464</f>
        <v>0.25</v>
      </c>
      <c r="G464" s="152"/>
    </row>
    <row r="465" spans="1:7" x14ac:dyDescent="0.2">
      <c r="A465" s="151"/>
      <c r="B465" s="151"/>
      <c r="C465" s="151"/>
      <c r="D465" s="151"/>
      <c r="E465" s="158" t="s">
        <v>221</v>
      </c>
      <c r="F465" s="151">
        <f>SUM(F462:F464)</f>
        <v>0.76</v>
      </c>
      <c r="G465" s="152"/>
    </row>
    <row r="466" spans="1:7" x14ac:dyDescent="0.2">
      <c r="A466" s="151"/>
      <c r="B466" s="151"/>
      <c r="C466" s="151"/>
      <c r="D466" s="151"/>
      <c r="E466" s="151"/>
      <c r="F466" s="151"/>
      <c r="G466" s="152"/>
    </row>
    <row r="467" spans="1:7" x14ac:dyDescent="0.2">
      <c r="A467" s="151"/>
      <c r="B467" s="151"/>
      <c r="C467" s="151"/>
      <c r="D467" s="151"/>
      <c r="E467" s="151"/>
      <c r="F467" s="151"/>
      <c r="G467" s="152"/>
    </row>
    <row r="468" spans="1:7" x14ac:dyDescent="0.2">
      <c r="A468" s="197" t="str">
        <f>Planilha!A101</f>
        <v>10.10</v>
      </c>
      <c r="B468" s="197" t="str">
        <f>Planilha!B101</f>
        <v>17.01.050</v>
      </c>
      <c r="C468" s="197" t="str">
        <f>Planilha!C101</f>
        <v>Regularização de piso com nata de cimento</v>
      </c>
      <c r="D468" s="197" t="str">
        <f>Planilha!D101</f>
        <v>m²</v>
      </c>
      <c r="E468" s="197">
        <v>0</v>
      </c>
      <c r="F468" s="197"/>
      <c r="G468" s="204"/>
    </row>
    <row r="469" spans="1:7" x14ac:dyDescent="0.2">
      <c r="A469" s="151"/>
      <c r="B469" s="151"/>
      <c r="C469" s="151"/>
      <c r="D469" s="151"/>
      <c r="E469" s="151"/>
      <c r="F469" s="151"/>
      <c r="G469" s="152"/>
    </row>
    <row r="470" spans="1:7" x14ac:dyDescent="0.2">
      <c r="A470" s="151"/>
      <c r="B470" s="151"/>
      <c r="C470" s="151"/>
      <c r="D470" s="158" t="s">
        <v>219</v>
      </c>
      <c r="E470" s="151"/>
      <c r="F470" s="151"/>
      <c r="G470" s="152"/>
    </row>
    <row r="471" spans="1:7" x14ac:dyDescent="0.2">
      <c r="A471" s="151"/>
      <c r="B471" s="151"/>
      <c r="C471" s="158" t="s">
        <v>315</v>
      </c>
      <c r="D471" s="151">
        <v>2.5499999999999998</v>
      </c>
      <c r="E471" s="151"/>
      <c r="F471" s="151"/>
      <c r="G471" s="152"/>
    </row>
    <row r="472" spans="1:7" x14ac:dyDescent="0.2">
      <c r="A472" s="151"/>
      <c r="B472" s="151"/>
      <c r="C472" s="158" t="s">
        <v>316</v>
      </c>
      <c r="D472" s="151">
        <v>2.5499999999999998</v>
      </c>
      <c r="E472" s="151"/>
      <c r="F472" s="151"/>
      <c r="G472" s="152"/>
    </row>
    <row r="473" spans="1:7" x14ac:dyDescent="0.2">
      <c r="A473" s="151"/>
      <c r="B473" s="151"/>
      <c r="C473" s="158" t="s">
        <v>319</v>
      </c>
      <c r="D473" s="151">
        <v>2.5</v>
      </c>
      <c r="E473" s="151"/>
      <c r="F473" s="151"/>
      <c r="G473" s="152"/>
    </row>
    <row r="474" spans="1:7" x14ac:dyDescent="0.2">
      <c r="A474" s="151"/>
      <c r="B474" s="151"/>
      <c r="C474" s="158" t="s">
        <v>221</v>
      </c>
      <c r="D474" s="151">
        <v>0</v>
      </c>
      <c r="E474" s="151"/>
      <c r="F474" s="151"/>
      <c r="G474" s="152"/>
    </row>
    <row r="475" spans="1:7" x14ac:dyDescent="0.2">
      <c r="A475" s="151"/>
      <c r="B475" s="151"/>
      <c r="C475" s="151"/>
      <c r="D475" s="151"/>
      <c r="E475" s="151"/>
      <c r="F475" s="151"/>
      <c r="G475" s="152"/>
    </row>
    <row r="476" spans="1:7" ht="38.25" x14ac:dyDescent="0.2">
      <c r="A476" s="197" t="str">
        <f>Planilha!A102</f>
        <v>10.11</v>
      </c>
      <c r="B476" s="197" t="str">
        <f>Planilha!B102</f>
        <v>46.02.050</v>
      </c>
      <c r="C476" s="197" t="str">
        <f>Planilha!C102</f>
        <v>Tubo de PVC rígido branco PxB com virola e anel de borracha, linha esgoto série normal, DN= 50 mm, inclusive conexões</v>
      </c>
      <c r="D476" s="197" t="str">
        <f>Planilha!D102</f>
        <v>m</v>
      </c>
      <c r="E476" s="197">
        <f>Planilha!E102</f>
        <v>3</v>
      </c>
      <c r="F476" s="197"/>
      <c r="G476" s="203"/>
    </row>
    <row r="477" spans="1:7" x14ac:dyDescent="0.2">
      <c r="A477" s="151"/>
      <c r="B477" s="151"/>
      <c r="C477" s="151"/>
      <c r="D477" s="151"/>
      <c r="E477" s="151"/>
      <c r="F477" s="151"/>
      <c r="G477" s="152"/>
    </row>
    <row r="478" spans="1:7" x14ac:dyDescent="0.2">
      <c r="A478" s="151"/>
      <c r="B478" s="151"/>
      <c r="C478" s="158" t="s">
        <v>321</v>
      </c>
      <c r="D478" s="151"/>
      <c r="E478" s="151"/>
      <c r="F478" s="151"/>
      <c r="G478" s="152"/>
    </row>
    <row r="479" spans="1:7" x14ac:dyDescent="0.2">
      <c r="A479" s="151"/>
      <c r="B479" s="151"/>
      <c r="C479" s="151"/>
      <c r="D479" s="151"/>
      <c r="E479" s="151"/>
      <c r="F479" s="151"/>
      <c r="G479" s="152"/>
    </row>
    <row r="480" spans="1:7" ht="38.25" x14ac:dyDescent="0.2">
      <c r="A480" s="197" t="str">
        <f>Planilha!A103</f>
        <v>10.12</v>
      </c>
      <c r="B480" s="197" t="str">
        <f>Planilha!B103</f>
        <v>46.02.070</v>
      </c>
      <c r="C480" s="197" t="str">
        <f>Planilha!C103</f>
        <v>Tubo de PVC rígido branco PxB com virola e anel de borracha, linha esgoto série normal, DN= 100 mm, inclusive conexões</v>
      </c>
      <c r="D480" s="197" t="str">
        <f>Planilha!D103</f>
        <v>m</v>
      </c>
      <c r="E480" s="197">
        <f>Planilha!E103</f>
        <v>20</v>
      </c>
      <c r="F480" s="197"/>
      <c r="G480" s="203"/>
    </row>
    <row r="481" spans="1:7" x14ac:dyDescent="0.2">
      <c r="A481" s="151"/>
      <c r="B481" s="151"/>
      <c r="C481" s="151"/>
      <c r="D481" s="151"/>
      <c r="E481" s="151"/>
      <c r="F481" s="151"/>
      <c r="G481" s="152"/>
    </row>
    <row r="482" spans="1:7" x14ac:dyDescent="0.2">
      <c r="A482" s="151"/>
      <c r="B482" s="151"/>
      <c r="C482" s="158" t="s">
        <v>322</v>
      </c>
      <c r="D482" s="151"/>
      <c r="E482" s="151"/>
      <c r="F482" s="151"/>
      <c r="G482" s="152"/>
    </row>
    <row r="483" spans="1:7" x14ac:dyDescent="0.2">
      <c r="A483" s="151"/>
      <c r="B483" s="151"/>
      <c r="C483" s="151"/>
      <c r="D483" s="151"/>
      <c r="E483" s="151"/>
      <c r="F483" s="151"/>
      <c r="G483" s="152"/>
    </row>
    <row r="484" spans="1:7" ht="25.5" x14ac:dyDescent="0.2">
      <c r="A484" s="197" t="str">
        <f>Planilha!A104</f>
        <v>10.13</v>
      </c>
      <c r="B484" s="197" t="str">
        <f>Planilha!B104</f>
        <v>49.01.016</v>
      </c>
      <c r="C484" s="197" t="str">
        <f>Planilha!C104</f>
        <v>Caixa sifonada de PVC rígido de 100 x 100 x 50 mm, com grelha</v>
      </c>
      <c r="D484" s="197" t="str">
        <f>Planilha!D104</f>
        <v>un</v>
      </c>
      <c r="E484" s="197">
        <f>Planilha!E104</f>
        <v>2</v>
      </c>
      <c r="F484" s="197"/>
      <c r="G484" s="203"/>
    </row>
    <row r="485" spans="1:7" x14ac:dyDescent="0.2">
      <c r="A485" s="151"/>
      <c r="B485" s="151"/>
      <c r="C485" s="151"/>
      <c r="D485" s="151"/>
      <c r="E485" s="151"/>
      <c r="F485" s="151"/>
      <c r="G485" s="152"/>
    </row>
    <row r="486" spans="1:7" x14ac:dyDescent="0.2">
      <c r="A486" s="151"/>
      <c r="B486" s="151"/>
      <c r="C486" s="158" t="s">
        <v>323</v>
      </c>
      <c r="D486" s="151"/>
      <c r="E486" s="151"/>
      <c r="F486" s="151"/>
      <c r="G486" s="152"/>
    </row>
    <row r="487" spans="1:7" x14ac:dyDescent="0.2">
      <c r="A487" s="151"/>
      <c r="B487" s="151"/>
      <c r="C487" s="151"/>
      <c r="D487" s="151"/>
      <c r="E487" s="151"/>
      <c r="F487" s="151"/>
      <c r="G487" s="152"/>
    </row>
    <row r="488" spans="1:7" x14ac:dyDescent="0.2">
      <c r="A488" s="197" t="str">
        <f>Planilha!A105</f>
        <v>10.14</v>
      </c>
      <c r="B488" s="197" t="str">
        <f>Planilha!B105</f>
        <v>49.03.020</v>
      </c>
      <c r="C488" s="197" t="str">
        <f>Planilha!C105</f>
        <v>Caixa em alvenaria, 600 x 600 x 600 mm</v>
      </c>
      <c r="D488" s="197" t="str">
        <f>Planilha!D105</f>
        <v>un</v>
      </c>
      <c r="E488" s="197">
        <f>Planilha!E105</f>
        <v>1</v>
      </c>
      <c r="F488" s="197"/>
      <c r="G488" s="203"/>
    </row>
    <row r="489" spans="1:7" x14ac:dyDescent="0.2">
      <c r="A489" s="151"/>
      <c r="B489" s="151"/>
      <c r="C489" s="151"/>
      <c r="D489" s="151"/>
      <c r="E489" s="151"/>
      <c r="F489" s="151"/>
      <c r="G489" s="152"/>
    </row>
    <row r="490" spans="1:7" x14ac:dyDescent="0.2">
      <c r="A490" s="151"/>
      <c r="B490" s="151"/>
      <c r="C490" s="158" t="s">
        <v>324</v>
      </c>
      <c r="D490" s="151"/>
      <c r="E490" s="151"/>
      <c r="F490" s="151"/>
      <c r="G490" s="152"/>
    </row>
    <row r="491" spans="1:7" x14ac:dyDescent="0.2">
      <c r="A491" s="151"/>
      <c r="B491" s="151"/>
      <c r="C491" s="151"/>
      <c r="D491" s="151"/>
      <c r="E491" s="151"/>
      <c r="F491" s="151"/>
      <c r="G491" s="152"/>
    </row>
    <row r="492" spans="1:7" ht="25.5" x14ac:dyDescent="0.2">
      <c r="A492" s="197" t="str">
        <f>Planilha!A106</f>
        <v>10.15</v>
      </c>
      <c r="B492" s="197" t="str">
        <f>Planilha!B106</f>
        <v>46.01.020</v>
      </c>
      <c r="C492" s="197" t="str">
        <f>Planilha!C106</f>
        <v>Tubo de PVC rígido soldável marrom, DN= 25 mm, (3/4´), inclusive conexões</v>
      </c>
      <c r="D492" s="197" t="str">
        <f>Planilha!D106</f>
        <v>m</v>
      </c>
      <c r="E492" s="197">
        <f>Planilha!E106</f>
        <v>20</v>
      </c>
      <c r="F492" s="197"/>
      <c r="G492" s="203"/>
    </row>
    <row r="493" spans="1:7" x14ac:dyDescent="0.2">
      <c r="A493" s="151"/>
      <c r="B493" s="151"/>
      <c r="C493" s="151"/>
      <c r="D493" s="151"/>
      <c r="E493" s="151"/>
      <c r="F493" s="151"/>
      <c r="G493" s="152"/>
    </row>
    <row r="494" spans="1:7" x14ac:dyDescent="0.2">
      <c r="A494" s="151"/>
      <c r="B494" s="151"/>
      <c r="C494" s="158" t="s">
        <v>325</v>
      </c>
      <c r="D494" s="151"/>
      <c r="E494" s="151"/>
      <c r="F494" s="151"/>
      <c r="G494" s="152"/>
    </row>
    <row r="495" spans="1:7" x14ac:dyDescent="0.2">
      <c r="A495" s="151"/>
      <c r="B495" s="151"/>
      <c r="C495" s="151"/>
      <c r="D495" s="151"/>
      <c r="E495" s="151"/>
      <c r="F495" s="151"/>
      <c r="G495" s="152"/>
    </row>
    <row r="496" spans="1:7" x14ac:dyDescent="0.2">
      <c r="A496" s="197" t="str">
        <f>Planilha!A107</f>
        <v>10.16</v>
      </c>
      <c r="B496" s="197" t="str">
        <f>Planilha!B107</f>
        <v>22.03.070</v>
      </c>
      <c r="C496" s="197" t="str">
        <f>Planilha!C107</f>
        <v>Forro em lâmina de PVC</v>
      </c>
      <c r="D496" s="197" t="str">
        <f>Planilha!D107</f>
        <v>m²</v>
      </c>
      <c r="E496" s="197">
        <f>Planilha!E107</f>
        <v>7.6</v>
      </c>
      <c r="F496" s="197"/>
      <c r="G496" s="203"/>
    </row>
    <row r="497" spans="1:7" x14ac:dyDescent="0.2">
      <c r="A497" s="151"/>
      <c r="B497" s="151"/>
      <c r="C497" s="151"/>
      <c r="D497" s="151"/>
      <c r="E497" s="151"/>
      <c r="F497" s="151"/>
      <c r="G497" s="152"/>
    </row>
    <row r="498" spans="1:7" x14ac:dyDescent="0.2">
      <c r="A498" s="151"/>
      <c r="B498" s="151"/>
      <c r="C498" s="158" t="s">
        <v>218</v>
      </c>
      <c r="D498" s="158" t="s">
        <v>219</v>
      </c>
      <c r="E498" s="151"/>
      <c r="F498" s="151"/>
      <c r="G498" s="152"/>
    </row>
    <row r="499" spans="1:7" x14ac:dyDescent="0.2">
      <c r="A499" s="151"/>
      <c r="B499" s="151"/>
      <c r="C499" s="158" t="s">
        <v>315</v>
      </c>
      <c r="D499" s="151">
        <v>2.5499999999999998</v>
      </c>
      <c r="E499" s="151"/>
      <c r="F499" s="151"/>
      <c r="G499" s="152"/>
    </row>
    <row r="500" spans="1:7" x14ac:dyDescent="0.2">
      <c r="A500" s="151"/>
      <c r="B500" s="151"/>
      <c r="C500" s="158" t="s">
        <v>316</v>
      </c>
      <c r="D500" s="151">
        <v>2.5499999999999998</v>
      </c>
      <c r="E500" s="151"/>
      <c r="F500" s="151"/>
      <c r="G500" s="152"/>
    </row>
    <row r="501" spans="1:7" x14ac:dyDescent="0.2">
      <c r="A501" s="151"/>
      <c r="B501" s="151"/>
      <c r="C501" s="158" t="s">
        <v>319</v>
      </c>
      <c r="D501" s="151">
        <v>2.5</v>
      </c>
      <c r="E501" s="151"/>
      <c r="F501" s="151"/>
      <c r="G501" s="152"/>
    </row>
    <row r="502" spans="1:7" x14ac:dyDescent="0.2">
      <c r="A502" s="151"/>
      <c r="B502" s="151"/>
      <c r="C502" s="158" t="s">
        <v>221</v>
      </c>
      <c r="D502" s="151">
        <f>SUM(D499:D501)</f>
        <v>7.6</v>
      </c>
      <c r="E502" s="151"/>
      <c r="F502" s="151"/>
      <c r="G502" s="152"/>
    </row>
    <row r="503" spans="1:7" x14ac:dyDescent="0.2">
      <c r="A503" s="151"/>
      <c r="B503" s="151"/>
      <c r="C503" s="151"/>
      <c r="D503" s="151"/>
      <c r="E503" s="151"/>
      <c r="F503" s="151"/>
      <c r="G503" s="152"/>
    </row>
    <row r="504" spans="1:7" x14ac:dyDescent="0.2">
      <c r="A504" s="206"/>
      <c r="B504" s="206"/>
      <c r="C504" s="206"/>
      <c r="D504" s="206"/>
      <c r="E504" s="206"/>
      <c r="F504" s="206"/>
      <c r="G504" s="207"/>
    </row>
    <row r="505" spans="1:7" x14ac:dyDescent="0.2">
      <c r="A505" s="212"/>
      <c r="B505" s="213"/>
      <c r="C505" s="214"/>
      <c r="D505" s="213"/>
      <c r="E505" s="215"/>
      <c r="F505" s="213"/>
      <c r="G505" s="216"/>
    </row>
    <row r="506" spans="1:7" x14ac:dyDescent="0.2">
      <c r="A506" s="217"/>
      <c r="B506" s="208"/>
      <c r="C506" s="209"/>
      <c r="D506" s="208"/>
      <c r="E506" s="210"/>
      <c r="F506" s="208"/>
      <c r="G506" s="218"/>
    </row>
    <row r="507" spans="1:7" x14ac:dyDescent="0.2">
      <c r="A507" s="217"/>
      <c r="B507" s="208"/>
      <c r="C507" s="209"/>
      <c r="D507" s="208"/>
      <c r="E507" s="210"/>
      <c r="F507" s="208"/>
      <c r="G507" s="218"/>
    </row>
    <row r="508" spans="1:7" x14ac:dyDescent="0.2">
      <c r="A508" s="217"/>
      <c r="B508" s="208"/>
      <c r="C508" s="209"/>
      <c r="D508" s="208"/>
      <c r="E508" s="210"/>
      <c r="F508" s="208"/>
      <c r="G508" s="218"/>
    </row>
    <row r="509" spans="1:7" x14ac:dyDescent="0.2">
      <c r="A509" s="217"/>
      <c r="B509" s="208"/>
      <c r="C509" s="209"/>
      <c r="D509" s="208"/>
      <c r="E509" s="210"/>
      <c r="F509" s="208"/>
      <c r="G509" s="218"/>
    </row>
    <row r="510" spans="1:7" x14ac:dyDescent="0.2">
      <c r="A510" s="217"/>
      <c r="B510" s="208"/>
      <c r="C510" s="209"/>
      <c r="D510" s="208"/>
      <c r="E510" s="208"/>
      <c r="F510" s="208"/>
      <c r="G510" s="218"/>
    </row>
    <row r="511" spans="1:7" x14ac:dyDescent="0.2">
      <c r="A511" s="217"/>
      <c r="B511" s="208"/>
      <c r="C511" s="209"/>
      <c r="D511" s="208"/>
      <c r="E511" s="208"/>
      <c r="F511" s="208"/>
      <c r="G511" s="218"/>
    </row>
    <row r="512" spans="1:7" x14ac:dyDescent="0.2">
      <c r="A512" s="217"/>
      <c r="B512" s="208"/>
      <c r="C512" s="209"/>
      <c r="D512" s="208"/>
      <c r="E512" s="208"/>
      <c r="F512" s="208"/>
      <c r="G512" s="218"/>
    </row>
    <row r="513" spans="1:7" x14ac:dyDescent="0.2">
      <c r="A513" s="217"/>
      <c r="B513" s="208"/>
      <c r="C513" s="209"/>
      <c r="D513" s="208"/>
      <c r="E513" s="208"/>
      <c r="F513" s="208"/>
      <c r="G513" s="218"/>
    </row>
    <row r="514" spans="1:7" x14ac:dyDescent="0.2">
      <c r="A514" s="217"/>
      <c r="B514" s="208"/>
      <c r="C514" s="209"/>
      <c r="D514" s="208"/>
      <c r="E514" s="208"/>
      <c r="F514" s="208"/>
      <c r="G514" s="218"/>
    </row>
    <row r="515" spans="1:7" x14ac:dyDescent="0.2">
      <c r="A515" s="217"/>
      <c r="B515" s="208"/>
      <c r="C515" s="209"/>
      <c r="D515" s="208"/>
      <c r="E515" s="208"/>
      <c r="F515" s="208"/>
      <c r="G515" s="218"/>
    </row>
    <row r="516" spans="1:7" x14ac:dyDescent="0.2">
      <c r="A516" s="217"/>
      <c r="B516" s="208"/>
      <c r="C516" s="209"/>
      <c r="D516" s="208"/>
      <c r="E516" s="208"/>
      <c r="F516" s="208"/>
      <c r="G516" s="218"/>
    </row>
    <row r="517" spans="1:7" x14ac:dyDescent="0.2">
      <c r="A517" s="217"/>
      <c r="B517" s="208"/>
      <c r="C517" s="209"/>
      <c r="D517" s="208"/>
      <c r="E517" s="208"/>
      <c r="F517" s="208"/>
      <c r="G517" s="218"/>
    </row>
    <row r="518" spans="1:7" x14ac:dyDescent="0.2">
      <c r="A518" s="217"/>
      <c r="B518" s="208"/>
      <c r="C518" s="209"/>
      <c r="D518" s="208"/>
      <c r="E518" s="208"/>
      <c r="F518" s="208"/>
      <c r="G518" s="218"/>
    </row>
    <row r="519" spans="1:7" x14ac:dyDescent="0.2">
      <c r="A519" s="217"/>
      <c r="B519" s="208"/>
      <c r="C519" s="209"/>
      <c r="D519" s="208"/>
      <c r="E519" s="208"/>
      <c r="F519" s="208"/>
      <c r="G519" s="218"/>
    </row>
    <row r="520" spans="1:7" x14ac:dyDescent="0.2">
      <c r="A520" s="219"/>
      <c r="B520" s="220"/>
      <c r="C520" s="221"/>
      <c r="D520" s="220"/>
      <c r="E520" s="220"/>
      <c r="F520" s="220"/>
      <c r="G520" s="222"/>
    </row>
    <row r="521" spans="1:7" x14ac:dyDescent="0.2">
      <c r="A521" s="208"/>
      <c r="B521" s="208"/>
      <c r="C521" s="209"/>
      <c r="D521" s="208"/>
      <c r="E521" s="208"/>
      <c r="F521" s="208"/>
      <c r="G521" s="211"/>
    </row>
    <row r="522" spans="1:7" x14ac:dyDescent="0.2">
      <c r="A522" s="208"/>
      <c r="B522" s="208"/>
      <c r="C522" s="209"/>
      <c r="D522" s="208"/>
      <c r="E522" s="208"/>
      <c r="F522" s="208"/>
      <c r="G522" s="211"/>
    </row>
  </sheetData>
  <mergeCells count="9">
    <mergeCell ref="A9:B9"/>
    <mergeCell ref="C9:E9"/>
    <mergeCell ref="C1:G1"/>
    <mergeCell ref="C2:G2"/>
    <mergeCell ref="C3:G3"/>
    <mergeCell ref="C4:G4"/>
    <mergeCell ref="C5:G5"/>
    <mergeCell ref="A7:B8"/>
    <mergeCell ref="C7:E8"/>
  </mergeCells>
  <pageMargins left="0.511811024" right="0.511811024" top="0.78740157499999996" bottom="0.78740157499999996" header="0.31496062000000002" footer="0.31496062000000002"/>
  <pageSetup paperSize="9" scale="50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</vt:lpstr>
      <vt:lpstr>Memoria de Cálculo</vt:lpstr>
      <vt:lpstr>Planilha!Area_de_impressao</vt:lpstr>
    </vt:vector>
  </TitlesOfParts>
  <Company>Usuario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</dc:creator>
  <cp:lastModifiedBy>Mario.Compras</cp:lastModifiedBy>
  <cp:lastPrinted>2020-01-16T18:02:08Z</cp:lastPrinted>
  <dcterms:created xsi:type="dcterms:W3CDTF">2000-04-11T13:27:40Z</dcterms:created>
  <dcterms:modified xsi:type="dcterms:W3CDTF">2020-01-30T17:40:11Z</dcterms:modified>
</cp:coreProperties>
</file>